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1910" windowHeight="5685" tabRatio="689" activeTab="1"/>
  </bookViews>
  <sheets>
    <sheet name="F 1" sheetId="1" r:id="rId1"/>
    <sheet name="hitung F1" sheetId="2" r:id="rId2"/>
    <sheet name="F2" sheetId="3" r:id="rId3"/>
    <sheet name="F 3" sheetId="4" r:id="rId4"/>
    <sheet name="hitung F3" sheetId="5" r:id="rId5"/>
    <sheet name="F 4" sheetId="6" r:id="rId6"/>
    <sheet name="F5" sheetId="7" r:id="rId7"/>
    <sheet name="F6" sheetId="8" r:id="rId8"/>
    <sheet name="F 7" sheetId="9" r:id="rId9"/>
    <sheet name="F 8" sheetId="10" r:id="rId10"/>
    <sheet name="F 9" sheetId="11" r:id="rId11"/>
    <sheet name="hasil desk&amp;akhir" sheetId="12" r:id="rId12"/>
  </sheets>
  <definedNames>
    <definedName name="_Toc206868236" localSheetId="2">'F2'!$A$1</definedName>
    <definedName name="_xlnm.Print_Area" localSheetId="0">'F 1'!$A$1:$F$124</definedName>
    <definedName name="_xlnm.Print_Area" localSheetId="8">'F 7'!$A$1:$G$37</definedName>
    <definedName name="_xlnm.Print_Area" localSheetId="9">'F 8'!$A$1:$G$66</definedName>
    <definedName name="_xlnm.Print_Area" localSheetId="2">'F2'!$A$1:$E$36</definedName>
    <definedName name="_xlnm.Print_Area" localSheetId="6">'F5'!$A$1:$N$72</definedName>
    <definedName name="_xlnm.Print_Area" localSheetId="7">'F6'!$A$1:$G$123</definedName>
    <definedName name="_xlnm.Print_Titles" localSheetId="0">'F 1'!$12:$12</definedName>
    <definedName name="_xlnm.Print_Titles" localSheetId="8">'F 7'!$9:$10</definedName>
    <definedName name="_xlnm.Print_Titles" localSheetId="9">'F 8'!$10:$11</definedName>
    <definedName name="_xlnm.Print_Titles" localSheetId="2">'F2'!$11:$12</definedName>
    <definedName name="_xlnm.Print_Titles" localSheetId="6">'F5'!$9:$9</definedName>
    <definedName name="_xlnm.Print_Titles" localSheetId="7">'F6'!$9:$11</definedName>
  </definedNames>
  <calcPr fullCalcOnLoad="1"/>
</workbook>
</file>

<file path=xl/comments2.xml><?xml version="1.0" encoding="utf-8"?>
<comments xmlns="http://schemas.openxmlformats.org/spreadsheetml/2006/main">
  <authors>
    <author>I. G. Putu Purnaba</author>
  </authors>
  <commentList>
    <comment ref="G99" authorId="0">
      <text>
        <r>
          <rPr>
            <b/>
            <sz val="9"/>
            <rFont val="Tahoma"/>
            <family val="2"/>
          </rPr>
          <t>I. G. Putu Purnaba: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<sst xmlns="http://schemas.openxmlformats.org/spreadsheetml/2006/main" count="1478" uniqueCount="727">
  <si>
    <t>Tanggal Penilaian</t>
  </si>
  <si>
    <t>No.</t>
  </si>
  <si>
    <t>No. Butir Penilaian</t>
  </si>
  <si>
    <t>Aspek Penilaian</t>
  </si>
  <si>
    <t>Informasi dari Borang PS</t>
  </si>
  <si>
    <t>Bobot</t>
  </si>
  <si>
    <t>Nilai*</t>
  </si>
  <si>
    <t>Strategi pencapaian sasaran dengan rentang waktu yang jelas dan didukung oleh dokumen.</t>
  </si>
  <si>
    <t>Rata-rata Indeks Prestasi Kumulatif (IPK) selama lima tahun terakhir.</t>
  </si>
  <si>
    <t>3.1.2</t>
  </si>
  <si>
    <t>3.1.3</t>
  </si>
  <si>
    <t>Penghargaan atas prestasi mahasiswa di bidang nalar, bakat dan minat.</t>
  </si>
  <si>
    <t>3.2.1</t>
  </si>
  <si>
    <t>3.2.2</t>
  </si>
  <si>
    <t>Upaya pelacakan dan perekaman data lulusan.</t>
  </si>
  <si>
    <t>3.4.2</t>
  </si>
  <si>
    <t>4.2.1</t>
  </si>
  <si>
    <t>4.2.2</t>
  </si>
  <si>
    <t xml:space="preserve">Dosen tetap berpendidikan (terakhir) S2 dan S3 yang bidang keahliannya sesuai dengan kompetensi PS. </t>
  </si>
  <si>
    <t>4.3.3</t>
  </si>
  <si>
    <t>4.3.4 &amp; 4.3.5</t>
  </si>
  <si>
    <t>4.4.1</t>
  </si>
  <si>
    <t>Kesesuaian keahlian dosen tidak tetap dengan mata kuliah yang diampu.</t>
  </si>
  <si>
    <t>4.5.1</t>
  </si>
  <si>
    <t>Kegiatan tenaga ahli/pakar sebagai pembicara dalam seminar/pelatihan, pembicara tamu, dsb, dari luar PT sendiri (tidak termasuk dosen tidak tetap).</t>
  </si>
  <si>
    <t>4.5.2</t>
  </si>
  <si>
    <t>Peningkatan kemampuan dosen tetap melalui program tugas belajar dalam bidang yang sesuai dengan bidang PS.</t>
  </si>
  <si>
    <t>4.5.3</t>
  </si>
  <si>
    <t>4.5.4</t>
  </si>
  <si>
    <t>4.5.5</t>
  </si>
  <si>
    <t>Reputasi dan keluasan jejaring dosen dalam bidang akademik dan profesi.</t>
  </si>
  <si>
    <t>4.6.2</t>
  </si>
  <si>
    <t>5.3.2</t>
  </si>
  <si>
    <t>5.7.1</t>
  </si>
  <si>
    <t>Kebijakan tentang suasana akademik (otonomi keilmuan, kebebasan akademik, kebebasan mimbar akademik).</t>
  </si>
  <si>
    <t>5.7.2</t>
  </si>
  <si>
    <t>Ketersediaan dan jenis prasarana, sarana dan dana yang memungkinkan terciptanya interaksi akademik antara sivitas akademika.</t>
  </si>
  <si>
    <t>5.7.3</t>
  </si>
  <si>
    <t>Program dan kegiatan akademik untuk menciptakan suasana akademik (seminar, simposium, lokakarya, bedah buku, penelitian bersama dll).</t>
  </si>
  <si>
    <t>5.7.4</t>
  </si>
  <si>
    <t>Interaksi akademik antara dosen-mahasiswa.</t>
  </si>
  <si>
    <t>6.2.1</t>
  </si>
  <si>
    <t>6.2.2</t>
  </si>
  <si>
    <t>6.2.3</t>
  </si>
  <si>
    <t>6.3.1</t>
  </si>
  <si>
    <t>6.3.2</t>
  </si>
  <si>
    <t>6.3.3</t>
  </si>
  <si>
    <t>6.4.2</t>
  </si>
  <si>
    <t>Akses ke perpustakaan di luar PT atau sumber pustaka lainnya.</t>
  </si>
  <si>
    <t>6.4.3</t>
  </si>
  <si>
    <t>6.5.1</t>
  </si>
  <si>
    <t>6.5.2</t>
  </si>
  <si>
    <t>Aksesibilitas data dalam sistem informasi.</t>
  </si>
  <si>
    <t>7.1.1</t>
  </si>
  <si>
    <t>7.1.2</t>
  </si>
  <si>
    <t>7.1.3</t>
  </si>
  <si>
    <t>7.2.1</t>
  </si>
  <si>
    <t>7.2.2</t>
  </si>
  <si>
    <t>7.3.1</t>
  </si>
  <si>
    <t>Kegiatan kerjasama dengan instansi di dalam negeri dalam tiga tahun terakhir.</t>
  </si>
  <si>
    <t>7.3.2</t>
  </si>
  <si>
    <t>Kegiatan kerjasama dengan instansi di luar negeri dalam tiga tahun terakhir.</t>
  </si>
  <si>
    <t>Catatan: *Nilai skala 0 - 4</t>
  </si>
  <si>
    <t>Nama Asesor   :</t>
  </si>
  <si>
    <t>Tanda Tangan :</t>
  </si>
  <si>
    <r>
      <t xml:space="preserve">Penilaian Dokumen </t>
    </r>
    <r>
      <rPr>
        <b/>
        <u val="single"/>
        <sz val="12"/>
        <color indexed="8"/>
        <rFont val="Arial"/>
        <family val="2"/>
      </rPr>
      <t>Perorangan</t>
    </r>
  </si>
  <si>
    <t xml:space="preserve">Nama Perguruan Tinggi </t>
  </si>
  <si>
    <t xml:space="preserve">Nama Fakultas </t>
  </si>
  <si>
    <t xml:space="preserve">Nama Program Studi </t>
  </si>
  <si>
    <t xml:space="preserve">Nama Asesor </t>
  </si>
  <si>
    <t>FORMAT 2. PENILAIAN EVALUASI DIRI PROGRAM STUDI</t>
  </si>
  <si>
    <t>Penilaian*</t>
  </si>
  <si>
    <t>Asr-1</t>
  </si>
  <si>
    <t>Asr-2</t>
  </si>
  <si>
    <t>Nilai Akhir</t>
  </si>
  <si>
    <t>Akurasi dan kelengkapan data serta informasi yang digunakan untuk menyusun laporan evaluasi-diri</t>
  </si>
  <si>
    <t>a</t>
  </si>
  <si>
    <r>
      <t xml:space="preserve">Cara  program studi mengemukakan fakta tentang situasi program studi, pada semua komponen evaluasi-diri, a.l. kelengkapan data, kurun waktu yang cukup, </t>
    </r>
    <r>
      <rPr>
        <i/>
        <sz val="12"/>
        <color indexed="8"/>
        <rFont val="Arial Narrow"/>
        <family val="2"/>
      </rPr>
      <t>cross-reference</t>
    </r>
    <r>
      <rPr>
        <sz val="12"/>
        <color indexed="8"/>
        <rFont val="Arial Narrow"/>
        <family val="2"/>
      </rPr>
      <t>.</t>
    </r>
  </si>
  <si>
    <t>b</t>
  </si>
  <si>
    <t>Pengolahan data menjadi informasi yang bermanfaat, a.l. menggunakan metode-metode kuantitatif yang tepat, serta teknik representasi yang relevan.</t>
  </si>
  <si>
    <t>Kualitas analisis yang digunakan untuk mengidentifikasi dan merumuskan masalah pada semua komponen evaluasi-diri.</t>
  </si>
  <si>
    <t xml:space="preserve">Identifikasi dan perumusan masalah dilakukan dengan baik.  </t>
  </si>
  <si>
    <r>
      <t xml:space="preserve">Ketepatan dalam melakukan </t>
    </r>
    <r>
      <rPr>
        <i/>
        <sz val="12"/>
        <color indexed="8"/>
        <rFont val="Arial Narrow"/>
        <family val="2"/>
      </rPr>
      <t>appraisal,</t>
    </r>
    <r>
      <rPr>
        <sz val="12"/>
        <color indexed="8"/>
        <rFont val="Arial Narrow"/>
        <family val="2"/>
      </rPr>
      <t xml:space="preserve"> </t>
    </r>
    <r>
      <rPr>
        <i/>
        <sz val="12"/>
        <color indexed="8"/>
        <rFont val="Arial Narrow"/>
        <family val="2"/>
      </rPr>
      <t>judgment</t>
    </r>
    <r>
      <rPr>
        <sz val="12"/>
        <color indexed="8"/>
        <rFont val="Arial Narrow"/>
        <family val="2"/>
      </rPr>
      <t xml:space="preserve">, evaluasi, asesmen atas fakta tentang situasi di program studi. </t>
    </r>
  </si>
  <si>
    <t>c</t>
  </si>
  <si>
    <t>Permasalahan dan kelemahan yang ada dirumuskan dengan baik.</t>
  </si>
  <si>
    <t>d</t>
  </si>
  <si>
    <t>Deskripsi/Analisis SWOT berkenaan dengan ketepatan penempatan aspek dalam komponen SWOT, tumpuan penekanan analisis.</t>
  </si>
  <si>
    <t>Strategi pengembangan dan perbaikan program</t>
  </si>
  <si>
    <t xml:space="preserve">Ketepatan program studi memilih/ menentukan rencana perbaikan dari kekurangan yang ada. </t>
  </si>
  <si>
    <t xml:space="preserve">Kejelasan program studi menunjukkan cara untuk mengatasi masalah yang ada. </t>
  </si>
  <si>
    <t xml:space="preserve">Kelayakan dan kerealistikan strategi dan sasaran yang ingin dicapai. </t>
  </si>
  <si>
    <t>Keterpaduan dan keterkaitan antar komponen evaluasi-diri</t>
  </si>
  <si>
    <t>Komprehensif (dalam, luas dan terpadu).</t>
  </si>
  <si>
    <t>Kejelasan analisis intra dan antar komponen evaluasi-diri.</t>
  </si>
  <si>
    <t>Jumlah</t>
  </si>
  <si>
    <t>Catatan: *skor 1 - 4</t>
  </si>
  <si>
    <t>FORMAT 3. PENILAIAN BORANG YANG DIISI FAKULTAS/ SEKOLAH TINGGI</t>
  </si>
  <si>
    <t>1.1.1</t>
  </si>
  <si>
    <t>1.1.2</t>
  </si>
  <si>
    <t>2.5.1</t>
  </si>
  <si>
    <t>Keberadaan dan efektivitas unit pelaksana penjaminan mutu.</t>
  </si>
  <si>
    <t>2.5.2</t>
  </si>
  <si>
    <t>3.1.1</t>
  </si>
  <si>
    <t>Rasio mahasiswa reguler dan transfer.</t>
  </si>
  <si>
    <t>Upaya pengembangan dan peningkatan mutu lulusan: jenis program yang dilakukan dan efektivitas pelaksanaannya.</t>
  </si>
  <si>
    <t>4.1.1</t>
  </si>
  <si>
    <t>4.1.3</t>
  </si>
  <si>
    <t xml:space="preserve">Investasi untuk pengadaan sarana dalam tiga tahun terakhir dibandingkan dengan kebutuhan saat ini. </t>
  </si>
  <si>
    <t>6.4.4</t>
  </si>
  <si>
    <t>FORMAT 4. BERITA  ACARA ASESMEN LAPANGAN  PROGRAM STUDI</t>
  </si>
  <si>
    <t>BERITA ACARA ASESMEN LAPANGAN PROGRAM STUDI</t>
  </si>
  <si>
    <t>Dari kegiatan tersebut diperoleh informasi butir-butir borang yang sesuai/tidak sesuai dengan kenyataan, dengan penjelasan sebagai tercantum di dalam daftar sebagai berikut.</t>
  </si>
  <si>
    <t>Informasi dari Borang PS Setelah Diverifikasi Melalui Wawancara dan Observasi</t>
  </si>
  <si>
    <t>Keterangan</t>
  </si>
  <si>
    <t>Catatan: *Coret yang tidak perlu</t>
  </si>
  <si>
    <t>Asesor</t>
  </si>
  <si>
    <t>(                      )</t>
  </si>
  <si>
    <t xml:space="preserve">Berita acara visitasi ini ditandatangani oleh Asesor dan Ketua Program Studi. </t>
  </si>
  <si>
    <t xml:space="preserve">untuk akreditasi Program Studi ………….., Jurusan ………………, Fakultas ………,  </t>
  </si>
  <si>
    <t>Universitas/Institut/Sekolah Tinggi/Politeknik/Akademi *)………………………………..</t>
  </si>
  <si>
    <t>BERITA ACARA ASESMEN LAPANGAN FAKULTAS/SEKOLAH TINGGI</t>
  </si>
  <si>
    <t>Informasi dari Portofolio Fakultas/Sekolah Tinggi</t>
  </si>
  <si>
    <t>FORMAT 6. LAPORAN PENILAIAN AKHIR BORANG PROGRAM STUDI</t>
  </si>
  <si>
    <t>No.Butir</t>
  </si>
  <si>
    <t>Rekomendasi Pembinaan</t>
  </si>
  <si>
    <t>Nama Asesor-1:</t>
  </si>
  <si>
    <t>Nama Asesor-2:</t>
  </si>
  <si>
    <t>Berdasarkan hasil asesmen lapangan, penilaian untuk setiap butir, dasar penilaian,</t>
  </si>
  <si>
    <t xml:space="preserve"> dan rekomendasi pembinaan disajikan pada table berikut.</t>
  </si>
  <si>
    <t>Penjelasan/Dasar Penilaian yang Diperoleh dari Dokumen ED dan Observasi</t>
  </si>
  <si>
    <t>Penjelasan/Dasar Penilaian yang Diperoleh dari Dokumen Portofolio, Wawancara, dan Observasi</t>
  </si>
  <si>
    <t xml:space="preserve">Berdasarkan hasil asesmen lapangan, penilaian untuk setiap butir, dasar penilaian, </t>
  </si>
  <si>
    <t>memberikan rekomendasi pembinaan program studi tersebut di atas sebagai berikut.</t>
  </si>
  <si>
    <t>Standar 4. Sumber Daya Manusia</t>
  </si>
  <si>
    <t>Standar 5. Kurikulum, Pembelajaran, dan Suasana Akademik</t>
  </si>
  <si>
    <t xml:space="preserve">           </t>
  </si>
  <si>
    <t>nilai</t>
  </si>
  <si>
    <t>TMBT</t>
  </si>
  <si>
    <t>RM</t>
  </si>
  <si>
    <t>IPK</t>
  </si>
  <si>
    <t>Nilai</t>
  </si>
  <si>
    <t>f</t>
  </si>
  <si>
    <t>SL</t>
  </si>
  <si>
    <t>Skor Akhir</t>
  </si>
  <si>
    <t>KD1</t>
  </si>
  <si>
    <t>KD3</t>
  </si>
  <si>
    <t>KD4</t>
  </si>
  <si>
    <t>N2</t>
  </si>
  <si>
    <t>N3</t>
  </si>
  <si>
    <t>SD</t>
  </si>
  <si>
    <t>SP</t>
  </si>
  <si>
    <t>X1</t>
  </si>
  <si>
    <t>X2</t>
  </si>
  <si>
    <t>X3</t>
  </si>
  <si>
    <t>A</t>
  </si>
  <si>
    <t>D</t>
  </si>
  <si>
    <t>B</t>
  </si>
  <si>
    <t>SLRDT</t>
  </si>
  <si>
    <t>Na</t>
  </si>
  <si>
    <t>Nb</t>
  </si>
  <si>
    <t>Nc</t>
  </si>
  <si>
    <t>Nilai Kasar (NK)</t>
  </si>
  <si>
    <t>TMB</t>
  </si>
  <si>
    <t>N</t>
  </si>
  <si>
    <t>nilaiXbobot (tidak diprint)</t>
  </si>
  <si>
    <t>F 1</t>
  </si>
  <si>
    <t>NO URUT</t>
  </si>
  <si>
    <t>Nilai x Bobot</t>
  </si>
  <si>
    <t>Nilaixbobot (tidak diprint)</t>
  </si>
  <si>
    <t>F2</t>
  </si>
  <si>
    <t>F3</t>
  </si>
  <si>
    <t>1.b</t>
  </si>
  <si>
    <t>1.a</t>
  </si>
  <si>
    <t>2.a</t>
  </si>
  <si>
    <t>2.b</t>
  </si>
  <si>
    <t>2.c</t>
  </si>
  <si>
    <t>2.d</t>
  </si>
  <si>
    <t>3.a</t>
  </si>
  <si>
    <t>3.b</t>
  </si>
  <si>
    <t>3.c</t>
  </si>
  <si>
    <t>4.a</t>
  </si>
  <si>
    <t>4.b</t>
  </si>
  <si>
    <t>Jmlh</t>
  </si>
  <si>
    <t>F1</t>
  </si>
  <si>
    <t>Nxbobot</t>
  </si>
  <si>
    <t>bobot-2</t>
  </si>
  <si>
    <t>Nxbobot2</t>
  </si>
  <si>
    <t>Hasil Akreditasi</t>
  </si>
  <si>
    <t>Nomer</t>
  </si>
  <si>
    <t>No  urut</t>
  </si>
  <si>
    <t>F 6</t>
  </si>
  <si>
    <t>F 8</t>
  </si>
  <si>
    <t>F 7</t>
  </si>
  <si>
    <t>Jumlah Nilai Akhir</t>
  </si>
  <si>
    <t>NilaiXbobot (tdk di print)</t>
  </si>
  <si>
    <t>Nilai x bobot (tidak di print)</t>
  </si>
  <si>
    <t>PTGS</t>
  </si>
  <si>
    <t>Nilai Desk (Untuk Pertimbangan)</t>
  </si>
  <si>
    <t>Nilai  Desk</t>
  </si>
  <si>
    <t>Nilai Desk</t>
  </si>
  <si>
    <t>Tanda Tangan</t>
  </si>
  <si>
    <t>Berita acara visitasi ini ditandatangani oleh Asesor dan Pimpinan Fakultas</t>
  </si>
  <si>
    <t>Setelah isi table tersebut di atas diperiksa  dan disetujui oleh Pimpinan Fakultas atau yang ditugaskan.</t>
  </si>
  <si>
    <t>PILIH PRODI : EKSAKTA ATAU SOSIAL. ISI HANYA DIKOLOM YG TEPAT</t>
  </si>
  <si>
    <t>Jumlah Dosen Tetap</t>
  </si>
  <si>
    <t>Jumlah Dosen tetap</t>
  </si>
  <si>
    <t>X4</t>
  </si>
  <si>
    <t xml:space="preserve"> </t>
  </si>
  <si>
    <t xml:space="preserve">      …………, …..-……- 2010</t>
  </si>
  <si>
    <t>Standar 1. Visi, Misi, Tujuan dan Sasaran, serta Strategi Pencapaian</t>
  </si>
  <si>
    <t>Standar 2. Tata Pamong, Kepemimpinan, Sistem Pengelolaan,  dan Penjaminan Mutu</t>
  </si>
  <si>
    <t>Standar 3. Mahasiswa dan Lulusan</t>
  </si>
  <si>
    <t>Standar 6.  Pembiayaan, Sarana dan Prasarana, serta Sistem Informasi</t>
  </si>
  <si>
    <t>Standar 7. Penelitian, Pelayanan/Pengabdian Kepada Masyarakat, dan Kerjasama</t>
  </si>
  <si>
    <t>Rasio = (jumlah kolom 3)/(jumlah kolom 2)</t>
  </si>
  <si>
    <t>Rasio=(jumlah kolom 5)/jumlah kolom 4)</t>
  </si>
  <si>
    <t>RM = TMBT/TMB</t>
  </si>
  <si>
    <t>Kolom isian yg tidak ada datanya harus diisi angka nol</t>
  </si>
  <si>
    <t>Kehadiran direncanakan</t>
  </si>
  <si>
    <t>Kehadiran dilaksanakan</t>
  </si>
  <si>
    <t>Rasio</t>
  </si>
  <si>
    <t>Jml dosen tidak tetap</t>
  </si>
  <si>
    <t>Persentase dosen tidak tetap (Pdtt)</t>
  </si>
  <si>
    <t>Jumlah kehadiran sebagai penyaji</t>
  </si>
  <si>
    <t>Jumlah kehadiran sebagai peserta</t>
  </si>
  <si>
    <t>Jumlah dosen tetap</t>
  </si>
  <si>
    <t>SP = (a+b/4)/N</t>
  </si>
  <si>
    <t>Jumlah pustakawan S2 atau S3</t>
  </si>
  <si>
    <t>Jumlah pustakawan D4 atau S1</t>
  </si>
  <si>
    <t>Jumlah pustakawan D1, D2, atau D3</t>
  </si>
  <si>
    <t>A=(4 X1 + 3 X2 + 2 X3)/4</t>
  </si>
  <si>
    <t>Jumlah tenaga admin D4 atau S1</t>
  </si>
  <si>
    <t>Jumlah tenaga admin D3</t>
  </si>
  <si>
    <t>Jumlah tenaga admin D1 dan D2</t>
  </si>
  <si>
    <t>Jumlah tenaga admin SMU/SMK</t>
  </si>
  <si>
    <t>Persentase MK dengan tugas &gt;=20%</t>
  </si>
  <si>
    <t>Jumlah MK pada kolom 7 yg ada tanda V</t>
  </si>
  <si>
    <t>Jumlah MK wajib +  pilihan</t>
  </si>
  <si>
    <t>Jumlah MK dengan SAP</t>
  </si>
  <si>
    <t>Jumlah seluruh MK</t>
  </si>
  <si>
    <t>Presentase MK dengan SAP</t>
  </si>
  <si>
    <t>Jumlah skor untuk tiga aspek (Rentang 3 - 12)</t>
  </si>
  <si>
    <t>Rasio mahasiswa/dosen</t>
  </si>
  <si>
    <t>Banyaknya dosen PA</t>
  </si>
  <si>
    <t>Banyaknya mahasiswa bimbingan PA</t>
  </si>
  <si>
    <t>Jumlah dosen pembimbing tugas akhir</t>
  </si>
  <si>
    <t>Jumlah mahasiswa tugas akhir</t>
  </si>
  <si>
    <t>SEL YANG HARUS DIISI HANYA SEL YANG BERWARNA KUNING</t>
  </si>
  <si>
    <t>Rata-rata dana pendidikan per tahun</t>
  </si>
  <si>
    <t>Rata-rata dana penelitian per tahun</t>
  </si>
  <si>
    <t>Rata-rata dana PkM per tahun</t>
  </si>
  <si>
    <t>Jumlah mahasiswa pada TS (Tabel 3.1.1)</t>
  </si>
  <si>
    <t>Total dana tridarma per tahun</t>
  </si>
  <si>
    <t>Jumlah dosen tetap dengan keahlian sesuai PS</t>
  </si>
  <si>
    <t>Rata-rata dana penelitian per dosen per tahun</t>
  </si>
  <si>
    <t>Jumlah dosen tetap PS</t>
  </si>
  <si>
    <t>Rata-rata dana PkM per dosen per tahun</t>
  </si>
  <si>
    <t>A=a+2b+3c+4d</t>
  </si>
  <si>
    <t>B=a+b+c+d</t>
  </si>
  <si>
    <t>A/B</t>
  </si>
  <si>
    <t>Luas semua ruang untuk &gt; 4 dosen</t>
  </si>
  <si>
    <t>Luas semua ruang untuk 3 - 4 dosen</t>
  </si>
  <si>
    <t>Luas semua ruang untuk 2 dosen</t>
  </si>
  <si>
    <t>Luas semua ruang untuk 1 dosen</t>
  </si>
  <si>
    <t>Skor</t>
  </si>
  <si>
    <r>
      <t xml:space="preserve">Catatan: Tiap baris hanya ada satu tanda </t>
    </r>
    <r>
      <rPr>
        <b/>
        <sz val="11"/>
        <color indexed="10"/>
        <rFont val="Calibri"/>
        <family val="2"/>
      </rPr>
      <t>√</t>
    </r>
    <r>
      <rPr>
        <b/>
        <sz val="10"/>
        <color indexed="10"/>
        <rFont val="Calibri"/>
        <family val="2"/>
      </rPr>
      <t>.</t>
    </r>
  </si>
  <si>
    <r>
      <t xml:space="preserve">Banyak tanda </t>
    </r>
    <r>
      <rPr>
        <sz val="11"/>
        <color indexed="8"/>
        <rFont val="Calibri"/>
        <family val="2"/>
      </rPr>
      <t>√</t>
    </r>
    <r>
      <rPr>
        <sz val="10"/>
        <color indexed="8"/>
        <rFont val="Calibri"/>
        <family val="2"/>
      </rPr>
      <t xml:space="preserve"> pada kolom (3)--&gt; Kisaran 0-11</t>
    </r>
  </si>
  <si>
    <t>Banyak tanda √ pada kolom (4)--&gt; Kisaran 0-11</t>
  </si>
  <si>
    <r>
      <t xml:space="preserve">Banyak tanda </t>
    </r>
    <r>
      <rPr>
        <sz val="11"/>
        <color indexed="8"/>
        <rFont val="Calibri"/>
        <family val="2"/>
      </rPr>
      <t>√</t>
    </r>
    <r>
      <rPr>
        <sz val="10"/>
        <color indexed="8"/>
        <rFont val="Calibri"/>
        <family val="2"/>
      </rPr>
      <t xml:space="preserve"> pada kolom (5)--&gt; Kisaran 0-11</t>
    </r>
  </si>
  <si>
    <t>Banyak tanda √ pada kolom (6)--&gt; Kisaran 0-11</t>
  </si>
  <si>
    <t>Jumlah penelitian dengan biaya LN</t>
  </si>
  <si>
    <t>Jumlah penelitian dengan biaya luar (PT)</t>
  </si>
  <si>
    <t>Jumlah penelitian dengan biaya PT/sendiri</t>
  </si>
  <si>
    <t>Jumlah dosen tetap dengan bidang sesuai PS</t>
  </si>
  <si>
    <t>NO. ITEM</t>
  </si>
  <si>
    <t>Jumlah kegiatan PkM dengan biaya LN</t>
  </si>
  <si>
    <t>Jumlah kegiatan PkM dengan biaya luar (PT)</t>
  </si>
  <si>
    <t>Jumlah kegiatan PkM dengan biaya PT/sendiri</t>
  </si>
  <si>
    <t>RM=TMBT/TMB</t>
  </si>
  <si>
    <t>Total mahasiswa baru transfer</t>
  </si>
  <si>
    <t>Total mahasiswa baru bukan transfer</t>
  </si>
  <si>
    <t>Persentase dosen berpendidikan S2 atau S3 (dalam %)</t>
  </si>
  <si>
    <t>Jumlah dosen tugas belajar S2/Sp-1</t>
  </si>
  <si>
    <t>Jumlah dosen tugas belajar S3/Sp-2</t>
  </si>
  <si>
    <t>Banyaknya program studi</t>
  </si>
  <si>
    <t>SD=(0.75 N2 + 1.25 N3)/N</t>
  </si>
  <si>
    <t>SD=(0.75 N2 + 1.25 N3)</t>
  </si>
  <si>
    <t>5.3</t>
  </si>
  <si>
    <t>NDOP</t>
  </si>
  <si>
    <t xml:space="preserve">Jumlah dana operasional per mhs per tahun </t>
  </si>
  <si>
    <t>NDPD</t>
  </si>
  <si>
    <t>Rata-rata dana penelitian per dosen tetap per tahun</t>
  </si>
  <si>
    <t>NDPKM</t>
  </si>
  <si>
    <t>Banyak tanda √ pada kolom (3)--&gt; Kisaran 0-12</t>
  </si>
  <si>
    <t>Banyak tanda √ pada kolom (5)--&gt; Kisaran 0-12</t>
  </si>
  <si>
    <t>Hasil asesmen kecukupan</t>
  </si>
  <si>
    <t>Rekap Asesmen Kecukupan</t>
  </si>
  <si>
    <t>Rekap Asesmen Lapangan</t>
  </si>
  <si>
    <t>HASIL  ASESMEN KECUKUPAN</t>
  </si>
  <si>
    <t>HASIL ASESMEN LAPANGAN</t>
  </si>
  <si>
    <t>Jumlah kolom 3 (Jumlah yang ikut seleksi))</t>
  </si>
  <si>
    <t>Jumlah kolom 2 (Daya tampung PS)</t>
  </si>
  <si>
    <t>Jumlah kolom 5 (Jumlah mhs baru reguler)</t>
  </si>
  <si>
    <t>Jumlah kolom 4 (Jumlah calon mhs yang lulus seleksi)</t>
  </si>
  <si>
    <t>KTW (Kelulusan tepat waktu, dalam persen)</t>
  </si>
  <si>
    <t>MDO (Persentase mahasiswa DO/Mengundurkan diri)</t>
  </si>
  <si>
    <t>Jumlah skor untuk semua layanan (Kisaran nilai 0-20)</t>
  </si>
  <si>
    <t>Skor Akhir (a + b + c + d paling tinggi = 7)</t>
  </si>
  <si>
    <t>Banyaknya dosen tetap dengan bidang sesuai PS</t>
  </si>
  <si>
    <t>FORMAT 1. PENILAIAN BORANG PROGRAM STUDI</t>
  </si>
  <si>
    <t>NO. URUT</t>
  </si>
  <si>
    <t>1.2</t>
  </si>
  <si>
    <t>2.1</t>
  </si>
  <si>
    <t>2.2</t>
  </si>
  <si>
    <t>2.3</t>
  </si>
  <si>
    <t>2.4</t>
  </si>
  <si>
    <t>2.5</t>
  </si>
  <si>
    <t>2.6</t>
  </si>
  <si>
    <t>4.1</t>
  </si>
  <si>
    <t>Jumlah mata kuliah yang tidak sesuai dengan keahlian dosen.</t>
  </si>
  <si>
    <t>Jumlah mata kuliah yang tidak sesuai dengan keahlian dosen tidak tetap.</t>
  </si>
  <si>
    <t>Kualitas laboran, teknisi, operator, programer.</t>
  </si>
  <si>
    <t>6.1</t>
  </si>
  <si>
    <t>Bahan pustaka berupa jurnal ilmiah terakreditasi Dikti.</t>
  </si>
  <si>
    <t>Banyak karya yang memperoleh HaKI.</t>
  </si>
  <si>
    <t>HANYA SEL YANG BERWARNA KUNING</t>
  </si>
  <si>
    <t>SEL YANG HARUS DIISI</t>
  </si>
  <si>
    <t>KETERANGAN</t>
  </si>
  <si>
    <t>NILAI</t>
  </si>
  <si>
    <t>Banyak tanda √ pada kolom (2)--&gt; Kisaran 0-12</t>
  </si>
  <si>
    <t>Banyak tanda √ pada kolom (4)--&gt; Kisaran 0-12</t>
  </si>
  <si>
    <t>Efisiensi dalam struktur organisasi.</t>
  </si>
  <si>
    <t>4.2</t>
  </si>
  <si>
    <t>5.1</t>
  </si>
  <si>
    <t>5.2</t>
  </si>
  <si>
    <t>Upaya pengembangan dana oleh Fakultas/Sekolah Tinggi.</t>
  </si>
  <si>
    <t>Jumlah dosen tetap berpendidikan &lt;= S1</t>
  </si>
  <si>
    <t>Jumlah dosen tetap berpendidikan S2</t>
  </si>
  <si>
    <t>Jumlah dosen tetap berpendidikan S3</t>
  </si>
  <si>
    <t>Jumlah total dosen tetap</t>
  </si>
  <si>
    <r>
      <t xml:space="preserve">Kejelasan,  kerealistikan, dan keterkaitan antar </t>
    </r>
    <r>
      <rPr>
        <sz val="10"/>
        <rFont val="Arial"/>
        <family val="2"/>
      </rPr>
      <t>visi, misi, tujuan, dan sasaran program studi.</t>
    </r>
  </si>
  <si>
    <t>Strategi pencapaian sasaran: kejelasan rentang waktu dan dukungan dokumen.</t>
  </si>
  <si>
    <t>Pemahaman pemangku kepentingan internal (sivitas akademika dan tenaga kependidikan) terhadap visi, misi, tujuan dan sasaran program studi.</t>
  </si>
  <si>
    <t>Jaminan tata pamong untuk mewujudkan visi, melaksanakan misi, mencapai tujuan dengan menggunakan strategi secara kredibel, transparan, akuntabel, bertanggung jawab dan adil.</t>
  </si>
  <si>
    <t>Karakteristik kepemimpinan di program studi yang mencakup: kepemimpinan operasional, kepemimpinan organisasi, dan kepemimpinan publik.</t>
  </si>
  <si>
    <r>
      <t>Efektivitas s</t>
    </r>
    <r>
      <rPr>
        <sz val="10"/>
        <rFont val="Arial"/>
        <family val="2"/>
      </rPr>
      <t xml:space="preserve">istem pengelolaan fungsional dan operasional program studi mencakup: </t>
    </r>
    <r>
      <rPr>
        <i/>
        <sz val="10"/>
        <rFont val="Arial"/>
        <family val="2"/>
      </rPr>
      <t>planning, organizing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staffing, leading, controlling, internal and external operation.</t>
    </r>
  </si>
  <si>
    <t>Pelaksanaan penjaminan mutu program studi.</t>
  </si>
  <si>
    <t>Umpan balik  untuk peningkatan mutu proses pembelajaran.  Informasi mencakup: sumber umpan balik, keberlanjutan pelaksanaan, dan tindak lanjutnya.</t>
  </si>
  <si>
    <r>
      <t>Upaya-upaya yang telah dilakukan penyelenggara program studi untuk menjamin keberlanjutan (</t>
    </r>
    <r>
      <rPr>
        <i/>
        <sz val="10"/>
        <rFont val="Arial"/>
        <family val="2"/>
      </rPr>
      <t>sustainability</t>
    </r>
    <r>
      <rPr>
        <sz val="10"/>
        <rFont val="Arial"/>
        <family val="2"/>
      </rPr>
      <t>) program studi.</t>
    </r>
  </si>
  <si>
    <t>3.1.1.1</t>
  </si>
  <si>
    <t xml:space="preserve">Rasio calon mahasiswa yang ikut seleksi : daya tampung. </t>
  </si>
  <si>
    <t>3.1.1.2</t>
  </si>
  <si>
    <t>Rasio mahasiswa baru reguler yang melakukan registrasi : calon mahasiswa baru reguler yang lulus seleksi.</t>
  </si>
  <si>
    <t>3.1.1.3</t>
  </si>
  <si>
    <t xml:space="preserve">Rasio mahasiswa baru transfer terhadap mahasiswa baru regular. </t>
  </si>
  <si>
    <t>3.1.1.4</t>
  </si>
  <si>
    <t>3.1.3.1</t>
  </si>
  <si>
    <r>
      <t>Persentase kelulusan tepat waktu</t>
    </r>
    <r>
      <rPr>
        <sz val="10"/>
        <rFont val="Arial"/>
        <family val="2"/>
      </rPr>
      <t>.</t>
    </r>
  </si>
  <si>
    <t>3.1.3.2</t>
  </si>
  <si>
    <r>
      <t>Persentase mahasiswa yang DO atau mengundurkan diri</t>
    </r>
    <r>
      <rPr>
        <sz val="10"/>
        <rFont val="Arial"/>
        <family val="2"/>
      </rPr>
      <t xml:space="preserve">. </t>
    </r>
  </si>
  <si>
    <t xml:space="preserve">Jenis layanan yang disediakan kepada mahasiswa yang dapat dimanfaatkan untuk membina dan mengembangkan penalaran, minat, bakat, seni, dan kesejahteraan. </t>
  </si>
  <si>
    <t xml:space="preserve">Mutu layanan yang disediakan kepada mahasiswa yang dapat dimanfaatkan untuk membina dan mengembangkan penalaran, minat, bakat, seni, dan kesejahteraan. </t>
  </si>
  <si>
    <t xml:space="preserve">Usaha-usaha program studi/jurusan mencarikan tempat kerja bagi lulusannya.  </t>
  </si>
  <si>
    <t>3.4.1.1</t>
  </si>
  <si>
    <t>3.4.1.2</t>
  </si>
  <si>
    <t>Penggunaan hasil pelacakan untuk perbaikan: proses pembelajaran, penggalangan dana, informasi pekerjaan, dan membangun jejaring.</t>
  </si>
  <si>
    <t>3.4.1.3</t>
  </si>
  <si>
    <r>
      <t>Pendapat pengguna (</t>
    </r>
    <r>
      <rPr>
        <i/>
        <sz val="10"/>
        <rFont val="Arial"/>
        <family val="2"/>
      </rPr>
      <t>employer</t>
    </r>
    <r>
      <rPr>
        <sz val="10"/>
        <rFont val="Arial"/>
        <family val="2"/>
      </rPr>
      <t>) lulusan terhadap mutu alumni.</t>
    </r>
  </si>
  <si>
    <t>Keahlian/kemampuan yang menunjukkan keunggulan lulusan program studi.</t>
  </si>
  <si>
    <t>3.4.3</t>
  </si>
  <si>
    <t>Masa tunggu lulusan untuk memperoleh pekerjaan yang pertama.</t>
  </si>
  <si>
    <t>3.4.4</t>
  </si>
  <si>
    <t>Kesesuaian bidang kerja lulusan dengan bidang studi.</t>
  </si>
  <si>
    <t>3.4.5</t>
  </si>
  <si>
    <t>Partisipasi alumni dalam mendukung pengembangan  program studi.</t>
  </si>
  <si>
    <r>
      <t xml:space="preserve">Pedoman tertulis tentang </t>
    </r>
    <r>
      <rPr>
        <sz val="10"/>
        <color indexed="8"/>
        <rFont val="Arial"/>
        <family val="2"/>
      </rPr>
      <t xml:space="preserve">sistem seleksi, perekrutan, penempatan, pengembangan, retensi, dan pemberhentian dosen dan tenaga kependidikan, serta efektivitas pelaksanaannya. </t>
    </r>
  </si>
  <si>
    <r>
      <t xml:space="preserve">Pedoman tertulis tentang </t>
    </r>
    <r>
      <rPr>
        <sz val="10"/>
        <color indexed="8"/>
        <rFont val="Arial"/>
        <family val="2"/>
      </rPr>
      <t xml:space="preserve">sistem monitoring dan evaluasi, serta rekam jejak kinerja dosen dan tenaga kependidikan, dan konsistensi pelaksanaannya. </t>
    </r>
  </si>
  <si>
    <t>Pelaksanaan monitoring dan evaluasi kinerja dosen di bidang  pendidikan, penelitian, pelayanan/pengabdian kepada masyarakat.</t>
  </si>
  <si>
    <t>4.3.1.1</t>
  </si>
  <si>
    <t>4.3.1.2</t>
  </si>
  <si>
    <t>Dosen tetap yang memiliki jabatan lektor kepala yang bidang keahliannya sesuai dengan kompetensi PS.</t>
  </si>
  <si>
    <t>4.3.1.3</t>
  </si>
  <si>
    <r>
      <t>Rasio mahasiswa terhadap dosen tetap yang bidang keahliannya sesuai dengan bidang PS (R</t>
    </r>
    <r>
      <rPr>
        <vertAlign val="subscript"/>
        <sz val="10"/>
        <rFont val="Arial"/>
        <family val="2"/>
      </rPr>
      <t>MD</t>
    </r>
    <r>
      <rPr>
        <sz val="10"/>
        <rFont val="Arial"/>
        <family val="2"/>
      </rPr>
      <t>).</t>
    </r>
  </si>
  <si>
    <t>4.3.2.1</t>
  </si>
  <si>
    <t>Dosen tetap yang memiliki Sertifikat Pendidik Profesional.</t>
  </si>
  <si>
    <t>4.3.2.2</t>
  </si>
  <si>
    <t>Rata-rata beban dosen per semester (SKS).</t>
  </si>
  <si>
    <t>Kesesuaian rumpun keilmuan/keahlian (pendidikan terakhir) dosen dengan mata kuliah yang diajarkannya.</t>
  </si>
  <si>
    <t xml:space="preserve">Persentase kehadiran dosen tetap dalam perkuliahan </t>
  </si>
  <si>
    <r>
      <t>Persentase jumlah dosen tidak tetap, terhadap jumlah seluruh dosen (= P</t>
    </r>
    <r>
      <rPr>
        <vertAlign val="subscript"/>
        <sz val="10"/>
        <rFont val="Arial"/>
        <family val="2"/>
      </rPr>
      <t>DTT</t>
    </r>
    <r>
      <rPr>
        <sz val="10"/>
        <rFont val="Arial"/>
        <family val="2"/>
      </rPr>
      <t>).</t>
    </r>
  </si>
  <si>
    <t>4.4.2.1</t>
  </si>
  <si>
    <t>4.4.2.2</t>
  </si>
  <si>
    <t xml:space="preserve">Persentase kehadiran dosen tidak tetap dalam perkuliahan </t>
  </si>
  <si>
    <r>
      <t xml:space="preserve">Kegiatan dosen tetap yang bidang keahliannya sesuai dengan PS dalam seminar ilmiah/ lokakarya/ penataran/ </t>
    </r>
    <r>
      <rPr>
        <i/>
        <sz val="10"/>
        <rFont val="Arial"/>
        <family val="2"/>
      </rPr>
      <t>workshop</t>
    </r>
    <r>
      <rPr>
        <sz val="10"/>
        <rFont val="Arial"/>
        <family val="2"/>
      </rPr>
      <t>/ pagelaran/ pameran/peragaan yang tidak hanya melibatkan dosen PT sendiri.</t>
    </r>
  </si>
  <si>
    <t>Prestasi dosen dalam mendapatkan penghargaan hibah, pendanaan program dan kegiatan akademik dari tingkat nasional dan internasional.</t>
  </si>
  <si>
    <t>4.6.1.1</t>
  </si>
  <si>
    <t>Pustakawan dan kualifikasinya.</t>
  </si>
  <si>
    <t>4.6.1.2</t>
  </si>
  <si>
    <t>Laboran, teknisi, analis, operator, programer: kecukupan dan kesesuaian kompetensi dan kegiatannya.</t>
  </si>
  <si>
    <t>4.6.1.3</t>
  </si>
  <si>
    <t>Tenaga administrasi: kecukupan dan kesesuaian kompetensinya.</t>
  </si>
  <si>
    <t xml:space="preserve">Upaya yang telah dilakukan PS dalam meningkatkan kualifikasi dan kompetensi tenaga kependidikan. </t>
  </si>
  <si>
    <t>5.1.1.1</t>
  </si>
  <si>
    <t>Kompetensi lulusan: kelengkapan dan perumusan kompetensi.</t>
  </si>
  <si>
    <t>5.1.1.2</t>
  </si>
  <si>
    <t>Kompetensi lulusan: orientasi dan kesesuaian dengan visi dan misi.</t>
  </si>
  <si>
    <t>5.1.2.1.1</t>
  </si>
  <si>
    <t xml:space="preserve">Struktur kurikulum: kesesuaian mata kuliah dan urutannya dengan standar kompetensi. </t>
  </si>
  <si>
    <t>5.1.2.1.2</t>
  </si>
  <si>
    <r>
      <t>Struktur kurikulum: jumlah SKS yang digunakan untuk kegiatan praktikum/ praktek/ PKL (=J</t>
    </r>
    <r>
      <rPr>
        <vertAlign val="subscript"/>
        <sz val="10"/>
        <color indexed="8"/>
        <rFont val="Arial"/>
        <family val="2"/>
      </rPr>
      <t xml:space="preserve">SKS </t>
    </r>
    <r>
      <rPr>
        <sz val="10"/>
        <color indexed="8"/>
        <rFont val="Arial"/>
        <family val="2"/>
      </rPr>
      <t>)</t>
    </r>
  </si>
  <si>
    <t>5.1.2.1.3</t>
  </si>
  <si>
    <t xml:space="preserve">Struktur kurikulum: persentase mata kuliah  yang dalam penentuan nilai akhirnya memberikan bobot pada tugas-tugas (PR atau laporan) ≥ 20% </t>
  </si>
  <si>
    <t>5.1.2.1.4</t>
  </si>
  <si>
    <r>
      <t>Struktur kurikulum: persentase mata kuliah dilengkapi dengan deskripsi mata kuliah, silabus dan SAP (= MK</t>
    </r>
    <r>
      <rPr>
        <vertAlign val="subscript"/>
        <sz val="10"/>
        <rFont val="Arial"/>
        <family val="2"/>
      </rPr>
      <t>SAP</t>
    </r>
    <r>
      <rPr>
        <sz val="10"/>
        <rFont val="Arial"/>
        <family val="2"/>
      </rPr>
      <t>)</t>
    </r>
  </si>
  <si>
    <t>5.1.2.2</t>
  </si>
  <si>
    <t>Substansi dan pelaksanaan praktikum/praktek.</t>
  </si>
  <si>
    <t>5.2.1</t>
  </si>
  <si>
    <t>Pelaksanaan proses pembelajaran: mekanisme monitoring perkuliahan (kehadiran mahasiswa, kehadiran dosen, materi kuliah)</t>
  </si>
  <si>
    <t>5.2.2</t>
  </si>
  <si>
    <r>
      <t>Pelaksanaan proses pembelajaran: jumlah jam real yang digunakan untuk kegiatan praktikum/ praktek/ PKL (=J</t>
    </r>
    <r>
      <rPr>
        <vertAlign val="subscript"/>
        <sz val="10"/>
        <color indexed="8"/>
        <rFont val="Arial"/>
        <family val="2"/>
      </rPr>
      <t xml:space="preserve">jam real </t>
    </r>
    <r>
      <rPr>
        <sz val="10"/>
        <color indexed="8"/>
        <rFont val="Arial"/>
        <family val="2"/>
      </rPr>
      <t>)</t>
    </r>
  </si>
  <si>
    <t>5.2.3</t>
  </si>
  <si>
    <t>5.3.1</t>
  </si>
  <si>
    <t>Peninjauan kurikulum selama 5 tahun terakhir: mekanisme, pihak yang terlibat, hasil peninjauan.</t>
  </si>
  <si>
    <t>5.4.1.1</t>
  </si>
  <si>
    <t>5.4.1.2</t>
  </si>
  <si>
    <t>Jumlah rata-rata pertemuan pembimbingan per mahasiswa per semester.</t>
  </si>
  <si>
    <t>5.4.2.1</t>
  </si>
  <si>
    <t>Pelaksanaan kegiatan pembimbingan akademik: keterlibatan dosen dan kesesuaian pelaksanaannya dengan panduan.</t>
  </si>
  <si>
    <t>5.4.2.2</t>
  </si>
  <si>
    <t>Efektivitas kegiatan perwalian.</t>
  </si>
  <si>
    <t>5.5.1</t>
  </si>
  <si>
    <t>Bentuk dan mutu karya/tugas akhir.</t>
  </si>
  <si>
    <t>5.5.2.1</t>
  </si>
  <si>
    <t>Ketersediaan panduan, sosialisasi, dan pelaksanaan karya/tugas akhir.</t>
  </si>
  <si>
    <t>5.5.2.2</t>
  </si>
  <si>
    <t xml:space="preserve">Rata-rata mahasiswa per dosen pembimbing karya/tugas akhir. </t>
  </si>
  <si>
    <t>5.5.2.3</t>
  </si>
  <si>
    <t>5.5.2.4</t>
  </si>
  <si>
    <t>Upaya perbaikan sistem pembelajaran yang telah dilakukan selama tiga tahun terakhir.</t>
  </si>
  <si>
    <t>Pembekalan lulusan program studi dengan etika profesi.</t>
  </si>
  <si>
    <t>Budaya keselamatan kerja dalam kegiatan praktikum/praktek: ketersediaan pedoman, keefektifan pelaksanaan, dan kelengkapan peralatan.</t>
  </si>
  <si>
    <t>Keterlibatan program studi dalam perencanaan target kinerja, perencanaan kegiatan/ kerja dan perencanaan alokasi dan pengelolaan dana.</t>
  </si>
  <si>
    <t>6.2.1.1</t>
  </si>
  <si>
    <r>
      <t>Persentase perolehan dana dari mahasiswa dibandingkan dengan total penerimaan dana (= PD</t>
    </r>
    <r>
      <rPr>
        <vertAlign val="subscript"/>
        <sz val="10"/>
        <rFont val="Arial"/>
        <family val="2"/>
      </rPr>
      <t>MHS</t>
    </r>
    <r>
      <rPr>
        <sz val="10"/>
        <rFont val="Arial"/>
        <family val="2"/>
      </rPr>
      <t>)</t>
    </r>
  </si>
  <si>
    <t>6.2.1.2</t>
  </si>
  <si>
    <t>Biaya satuan pendidikan per mahasiswa per tahun.</t>
  </si>
  <si>
    <t>Dana penelitian dosen dalam tiga tahun terakhir.</t>
  </si>
  <si>
    <t>Ruang kerja dosen: luas dan kelayakannya.</t>
  </si>
  <si>
    <t>Kelengkapan, kepemilikan, dan mutu prasarana (kantor, ruang kelas, ruang laboratorium, studio, ruang perpustakaan, kebun percobaan, dsb. kecuali  ruang dosen) yang dipergunakan PS dalam proses pembelajaran.</t>
  </si>
  <si>
    <t>6.4.1.1</t>
  </si>
  <si>
    <r>
      <t xml:space="preserve">Bahan pustaka yang relevan, berupa buku teks dan </t>
    </r>
    <r>
      <rPr>
        <i/>
        <sz val="10"/>
        <rFont val="Arial"/>
        <family val="2"/>
      </rPr>
      <t>handbook</t>
    </r>
    <r>
      <rPr>
        <sz val="10"/>
        <rFont val="Arial"/>
        <family val="2"/>
      </rPr>
      <t xml:space="preserve"> (termasuk yang versi elektronik).</t>
    </r>
  </si>
  <si>
    <t>6.4.1.2</t>
  </si>
  <si>
    <t>6.4.1.3</t>
  </si>
  <si>
    <t>Bahan pustaka berupa majalah ilmiah populer.</t>
  </si>
  <si>
    <t>6.4.1.4</t>
  </si>
  <si>
    <t>6.4.1.5</t>
  </si>
  <si>
    <t>Bahan pustaka  berupa jurnal ilmiah internasional.</t>
  </si>
  <si>
    <t>6.4.1.6</t>
  </si>
  <si>
    <r>
      <t xml:space="preserve">Ketersediaan, akses dan pendayagunaan sarana utama di lab </t>
    </r>
    <r>
      <rPr>
        <sz val="10"/>
        <rFont val="Arial"/>
        <family val="2"/>
      </rPr>
      <t xml:space="preserve">(tempat praktikum, bengkel, studio, ruang simulasi, rumah sakit, puskesmas/balai kesehatan, </t>
    </r>
    <r>
      <rPr>
        <i/>
        <sz val="10"/>
        <rFont val="Arial"/>
        <family val="2"/>
      </rPr>
      <t>green house</t>
    </r>
    <r>
      <rPr>
        <sz val="10"/>
        <rFont val="Arial"/>
        <family val="2"/>
      </rPr>
      <t>, lahan untuk pertanian, dan sejenisnya)</t>
    </r>
  </si>
  <si>
    <r>
      <t>Sistem informasi</t>
    </r>
    <r>
      <rPr>
        <sz val="10"/>
        <rFont val="Arial"/>
        <family val="2"/>
      </rPr>
      <t xml:space="preserve"> dan fasilitas yang digunakan PS</t>
    </r>
    <r>
      <rPr>
        <sz val="10"/>
        <color indexed="8"/>
        <rFont val="Arial"/>
        <family val="2"/>
      </rPr>
      <t xml:space="preserve"> dalam proses pembelajaran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hardware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software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e-learning,</t>
    </r>
    <r>
      <rPr>
        <sz val="10"/>
        <rFont val="Arial"/>
        <family val="2"/>
      </rPr>
      <t xml:space="preserve"> akses </t>
    </r>
    <r>
      <rPr>
        <i/>
        <sz val="10"/>
        <rFont val="Arial"/>
        <family val="2"/>
      </rPr>
      <t>on-line</t>
    </r>
    <r>
      <rPr>
        <sz val="10"/>
        <rFont val="Arial"/>
        <family val="2"/>
      </rPr>
      <t xml:space="preserve"> ke perpustakaan, dll.)</t>
    </r>
  </si>
  <si>
    <t>Jumlah penelitian yang sesuai dengan bidang keilmuan PS, yang dilakukan oleh dosen tetap yang bidang keahliannya sama dengan PS selama 3 tahun.</t>
  </si>
  <si>
    <t>Jumlah artikel ilmiah yang dihasilkan oleh dosen tetap yang bidang keahliannya sama dengan PS selama 3 tahun</t>
  </si>
  <si>
    <t>Karya-karya PS/institusi yang telah memperoleh perlindungan Hak atas Kekayaan Intelektual (Paten/HaKI) atau karya yang mendapat pengakuan/penghargaan dari lembaga di tingkat nasional/internasional.</t>
  </si>
  <si>
    <t>Jumlah kegiatan pelayanan/pengabdian kepada masyarakat (PkM) yang dilakukan oleh dosen tetap yang bidang keahliannya sama dengan PS selama tiga tahun.</t>
  </si>
  <si>
    <t>Keterlibatan mahasiswa dalam kegiatan pelayanan/pengabdian kepada masyarakat.</t>
  </si>
  <si>
    <t>3.5</t>
  </si>
  <si>
    <t>5.8</t>
  </si>
  <si>
    <t>5.9</t>
  </si>
  <si>
    <t>3.3</t>
  </si>
  <si>
    <t>Strategi ...</t>
  </si>
  <si>
    <t>Pemahaman ...</t>
  </si>
  <si>
    <t>Jaminan...</t>
  </si>
  <si>
    <t>Karakteristik ...</t>
  </si>
  <si>
    <t>Efektivitas...</t>
  </si>
  <si>
    <t>Pelaksanaan...</t>
  </si>
  <si>
    <t>Umpan balik...</t>
  </si>
  <si>
    <t>Upaya-upaya...</t>
  </si>
  <si>
    <t>Rasio...</t>
  </si>
  <si>
    <t>Rasio ...</t>
  </si>
  <si>
    <t>Rata-rata...</t>
  </si>
  <si>
    <t>Persentase ...</t>
  </si>
  <si>
    <t>Persentase...</t>
  </si>
  <si>
    <t>Jenis layanan...</t>
  </si>
  <si>
    <t>Mutu layanan...</t>
  </si>
  <si>
    <t>Kejelasan ...</t>
  </si>
  <si>
    <t>bulan</t>
  </si>
  <si>
    <t>juta</t>
  </si>
  <si>
    <t>Usaha...</t>
  </si>
  <si>
    <t>Upaya ...</t>
  </si>
  <si>
    <t>Penggunaan...</t>
  </si>
  <si>
    <t>Pendapat...</t>
  </si>
  <si>
    <t>Keahlian...</t>
  </si>
  <si>
    <t>Masa...</t>
  </si>
  <si>
    <t>Kesesuaian...</t>
  </si>
  <si>
    <t>Jumlah ...</t>
  </si>
  <si>
    <t>Partisipasi...</t>
  </si>
  <si>
    <t>Jumlah Dosen bergelar S2 dan S3, yang keahliannya sesuai bidang PS.</t>
  </si>
  <si>
    <t>Pedoman...</t>
  </si>
  <si>
    <t>Dosen...</t>
  </si>
  <si>
    <t>Dosen dgn jabatan Lektor Kepala</t>
  </si>
  <si>
    <t>Dosen yang memiliki sertifikat pendidik profesional.</t>
  </si>
  <si>
    <t>Dosen tetap yang memiliki Sertifikat Kompetensi/Profesi/ Keahlian Praktis.</t>
  </si>
  <si>
    <t>Rata-rata ...</t>
  </si>
  <si>
    <t>Persentase kehadiran dosen tidak tetap dalam perkuliahan (kisaran nilai 0 - 1).</t>
  </si>
  <si>
    <t>Kegiatan...</t>
  </si>
  <si>
    <t>Peningkatan...</t>
  </si>
  <si>
    <t>Prestasi...</t>
  </si>
  <si>
    <t>Reputasi...</t>
  </si>
  <si>
    <t>Pustakawan...</t>
  </si>
  <si>
    <t>Laboran...</t>
  </si>
  <si>
    <t>Tenaga...</t>
  </si>
  <si>
    <t>Upaya...</t>
  </si>
  <si>
    <t>Kompetensi...</t>
  </si>
  <si>
    <t>Struktur...</t>
  </si>
  <si>
    <t>Beri nilai: 1 jika PS D1, 2 jika PS D2, 3 jika PS D3, 4 jika PS D4</t>
  </si>
  <si>
    <t>Jumlah SKS untuk praktikum/praktek/PKL</t>
  </si>
  <si>
    <t>Skor D1</t>
  </si>
  <si>
    <t>Skor D2</t>
  </si>
  <si>
    <t>Skor D3</t>
  </si>
  <si>
    <t>Skor D4</t>
  </si>
  <si>
    <t>Penyesuaian kurikulum dengan perkembangan ipteks dan kebutuhan pemangku kepentingan.</t>
  </si>
  <si>
    <t>Rata-rata banyaknya mahasiswa per dosen Pembimbing Akademik (PA)/Wali per semester.</t>
  </si>
  <si>
    <t>Substansi...</t>
  </si>
  <si>
    <t>Pelaksanaan proses pembelajaran: mekanisme monitoring perkuliahan (kehadiran mahasiswa, kehadiran dosen, materi kuliah).</t>
  </si>
  <si>
    <t>Jumlah total jam</t>
  </si>
  <si>
    <t>Mutu...</t>
  </si>
  <si>
    <t>Peninjauan...</t>
  </si>
  <si>
    <t>Penyesuaian...</t>
  </si>
  <si>
    <t>Jumlah...</t>
  </si>
  <si>
    <t>Bentuk...</t>
  </si>
  <si>
    <t>Ketersediaan...</t>
  </si>
  <si>
    <t>Rata-rata jumlah pertemuan/ pembimbingan selama penyelesaian TA.</t>
  </si>
  <si>
    <t>Kualifikasi...</t>
  </si>
  <si>
    <r>
      <t>Bahan pustaka berupa prosiding seminar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dalam tiga tahun terakhir.</t>
    </r>
  </si>
  <si>
    <t>Kebijakan...</t>
  </si>
  <si>
    <t>Program...</t>
  </si>
  <si>
    <t>Integraksi...</t>
  </si>
  <si>
    <t>Pembekalan...</t>
  </si>
  <si>
    <t>Budaya...</t>
  </si>
  <si>
    <t>Keterlibatan...</t>
  </si>
  <si>
    <t>Peneriman dana dari mahasiswa.</t>
  </si>
  <si>
    <t>Total penerimaan dana.</t>
  </si>
  <si>
    <t>Biaya...</t>
  </si>
  <si>
    <t>Dana...</t>
  </si>
  <si>
    <t>Dana  pelayanan/ pengabdian kepada masyarakat dalam tiga  tahun terakhir.</t>
  </si>
  <si>
    <t>Ruang...</t>
  </si>
  <si>
    <t>Kelengkapan...</t>
  </si>
  <si>
    <t>Kelayakan prasarana lain yang menunjang (misalnya tempat olah raga, ruang bersama, ruang himpunan mahasiswa, poliklinik).</t>
  </si>
  <si>
    <t>Bahan ...</t>
  </si>
  <si>
    <t>Kelayakan...</t>
  </si>
  <si>
    <t>Bahan...</t>
  </si>
  <si>
    <t>Akses...</t>
  </si>
  <si>
    <t>Ketersediaan</t>
  </si>
  <si>
    <t>Sistem ...</t>
  </si>
  <si>
    <t>Aksesibilitas...</t>
  </si>
  <si>
    <t>Karya...</t>
  </si>
  <si>
    <t>Catatan: *Nilai skala 1 - 4</t>
  </si>
  <si>
    <t>Informasi dari Laporan Evaluasi Diri</t>
  </si>
  <si>
    <t>: ...</t>
  </si>
  <si>
    <t>Informasi dari Borang Unit Pengelola Program Studi</t>
  </si>
  <si>
    <r>
      <t xml:space="preserve">Tingkat pemahaman </t>
    </r>
    <r>
      <rPr>
        <sz val="10"/>
        <rFont val="Arial"/>
        <family val="2"/>
      </rPr>
      <t>sivitas akademika  dan tenaga kependidikan terhadap visi, misi, tujuan dan sasaran unit pengelola program studi.</t>
    </r>
  </si>
  <si>
    <t>Kepemimpinan yang efektif (kepemimpinan operasional, kepemimpinan organisasi, dan kepemimpinan publik).</t>
  </si>
  <si>
    <r>
      <rPr>
        <sz val="10"/>
        <rFont val="Arial"/>
        <family val="2"/>
      </rPr>
      <t xml:space="preserve">Sistem pengelolaan fungsional dan operasional unit pengelola program studi diploma mencakup: </t>
    </r>
    <r>
      <rPr>
        <i/>
        <sz val="10"/>
        <rFont val="Arial"/>
        <family val="2"/>
      </rPr>
      <t>planning, organizing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 xml:space="preserve">staffing, leading, controlling, internal and external operation </t>
    </r>
    <r>
      <rPr>
        <sz val="10"/>
        <rFont val="Arial"/>
        <family val="2"/>
      </rPr>
      <t>yang efektif dilaksanakan.</t>
    </r>
  </si>
  <si>
    <t>Ketersediaan dan pelaksanaan standar mutu.</t>
  </si>
  <si>
    <t xml:space="preserve">Ketersediaan dokumen tentang penerimaan mahasiswa baru dan pelaksanaannya.  </t>
  </si>
  <si>
    <t>Tujuan, proses penerimaan, dan mutu mahasiswa transfer.</t>
  </si>
  <si>
    <t>3.2.1.1</t>
  </si>
  <si>
    <t>Rata-rata masa studi lulusan.</t>
  </si>
  <si>
    <t>3.2.1.2</t>
  </si>
  <si>
    <t>Rata-rata IPK lulusan.</t>
  </si>
  <si>
    <t xml:space="preserve">Kecukupan dan kualifikasi dosen tetap  pada unit pengelola program studi diploma. </t>
  </si>
  <si>
    <t>4.1.2</t>
  </si>
  <si>
    <t xml:space="preserve">Dosen yang tugas belajar. </t>
  </si>
  <si>
    <t>Upaya unit pengelola program studi diploma dalam mengembangkan tenaga dosen tetap.</t>
  </si>
  <si>
    <t>Kecukupan, kompetensi, dan kualifikasi tenaga kependidikan.</t>
  </si>
  <si>
    <r>
      <t xml:space="preserve">Bentuk dukungan unit pengelola program studi diploma dalam </t>
    </r>
    <r>
      <rPr>
        <sz val="10"/>
        <rFont val="Arial"/>
        <family val="2"/>
      </rPr>
      <t>penyusunan, implementasi, dan pengembangan kurikulum antara lain dalam bentuk penyediaan fasilitas, pengorganisasian kegiatan, serta bantuan pendanaan.</t>
    </r>
  </si>
  <si>
    <t>Unit pengelola program studi diploma melakukan monitoring dan evaluasi secara bersistem dan hasilnya digunakan untuk perbaikan proses pembelajaran.</t>
  </si>
  <si>
    <t>Dukungan unit pengelola program studi diploma dalam penciptaan  suasana akademik.</t>
  </si>
  <si>
    <t>6.1.1.1</t>
  </si>
  <si>
    <t xml:space="preserve">Persentase perolehan dana dari mahasiswa dibandingkan dengan total penerimaan dana </t>
  </si>
  <si>
    <t>6.1.1.2</t>
  </si>
  <si>
    <t>6.1.1.3</t>
  </si>
  <si>
    <t>Dana penelitian dalam tiga tahun terakhir.</t>
  </si>
  <si>
    <t>6.1.1.4</t>
  </si>
  <si>
    <t>Dana yang diperoleh dalam rangka pelayanan/pengabdian kepada masyarakat dalam tiga  tahun terakhir.</t>
  </si>
  <si>
    <t>6.1.2.1</t>
  </si>
  <si>
    <t>Kecukupan dana yang diperoleh unit pengelola program studi diploma.</t>
  </si>
  <si>
    <t>6.1.2.2</t>
  </si>
  <si>
    <t>Upaya pengembangan dana.</t>
  </si>
  <si>
    <t>Rencana investasi untuk pengadaan sarana dalam lima tahun ke depan.</t>
  </si>
  <si>
    <r>
      <t>Mutu dan kecukupan akses p</t>
    </r>
    <r>
      <rPr>
        <sz val="10"/>
        <rFont val="Arial"/>
        <family val="2"/>
      </rPr>
      <t>rasarana yang dikelola unit pengelola program studi diploma untuk keperluan PS.</t>
    </r>
  </si>
  <si>
    <t>Rencana pengembangan prasarana oleh unit pengelola program studi diploma.</t>
  </si>
  <si>
    <r>
      <t xml:space="preserve">Pemanfaatan teknologi komunikasi dan informasi  untuk </t>
    </r>
    <r>
      <rPr>
        <sz val="10"/>
        <rFont val="Arial"/>
        <family val="2"/>
      </rPr>
      <t xml:space="preserve">proses pembelajaran, termasuk </t>
    </r>
    <r>
      <rPr>
        <i/>
        <sz val="10"/>
        <rFont val="Arial"/>
        <family val="2"/>
      </rPr>
      <t>e-learning.</t>
    </r>
    <r>
      <rPr>
        <sz val="10"/>
        <rFont val="Arial"/>
        <family val="2"/>
      </rPr>
      <t xml:space="preserve"> </t>
    </r>
  </si>
  <si>
    <r>
      <t xml:space="preserve">Pemanfaatan teknologi komunikasi dan informasi  untuk </t>
    </r>
    <r>
      <rPr>
        <sz val="10"/>
        <rFont val="Arial"/>
        <family val="2"/>
      </rPr>
      <t xml:space="preserve">penyelenggaraan administrasi (misalkan SIAKAD, SIMKEU, SIMAWA, SIMFA, SIMPEG). </t>
    </r>
  </si>
  <si>
    <r>
      <t xml:space="preserve">Pemanfaatan teknologi komunikasi dan informasi  untuk </t>
    </r>
    <r>
      <rPr>
        <sz val="10"/>
        <rFont val="Arial"/>
        <family val="2"/>
      </rPr>
      <t xml:space="preserve">proses pengambilan keputusan dalam pengembangan institusi (antara lain informasi berupa deskripsi, ringkasan, dan trend berbagai jenis data).  </t>
    </r>
  </si>
  <si>
    <t>Aksesibilitas data dalam sistem informasi dan komunikasi.</t>
  </si>
  <si>
    <t xml:space="preserve">Media/cara penyebaran informasi/kebijakan untuk sivitas akademika dan tenaga kependidikan di unit pengelola program studi diploma. </t>
  </si>
  <si>
    <t>Rencana strategis pengembangan sistem informasi jangka panjang: mempertimbangkan perkembangan teknologi informasi, dan komitmen unit pengelola program studi diploma dalam hal pendanaan.</t>
  </si>
  <si>
    <t>7.1.1.1</t>
  </si>
  <si>
    <t xml:space="preserve">Banyaknya kegiatan penelitian dosen tetap program studi diploma sejenjang. </t>
  </si>
  <si>
    <t>7.1.1.2</t>
  </si>
  <si>
    <t>Besar dana penelitian dosen tetap program studi diploma sejenjang.</t>
  </si>
  <si>
    <t>Upaya pengembangan kegiatan penelitian oleh unit pengelola program studi diploma.</t>
  </si>
  <si>
    <t>7.2.1.1</t>
  </si>
  <si>
    <t>Banyak kegiatan PkM dosen tetap seluruh program studi diploma sejenjang.</t>
  </si>
  <si>
    <t>7.2.1.2</t>
  </si>
  <si>
    <t>Besar dana PkM dosen tetap seluruh program studi diploma sejenjang.</t>
  </si>
  <si>
    <t>Upaya pengembangan kegiatan PkM oleh unit pengelola program studi diploma.</t>
  </si>
  <si>
    <r>
      <t xml:space="preserve">Catatan: Tiap baris hanya ada satu tanda </t>
    </r>
    <r>
      <rPr>
        <sz val="10"/>
        <color indexed="8"/>
        <rFont val="Arial"/>
        <family val="2"/>
      </rPr>
      <t>√.</t>
    </r>
  </si>
  <si>
    <t>Strategi...</t>
  </si>
  <si>
    <t>Tingkat...</t>
  </si>
  <si>
    <t>Tata pamong menjamin terwujudnya visi, terlaksananya misi, tercapainya tujuan, berhasilnya strategi yang digunakan secara kredibel, transparan, akuntabel, bertanggung jawab, dan adil.</t>
  </si>
  <si>
    <t>Tata...</t>
  </si>
  <si>
    <t>Efisiensi...</t>
  </si>
  <si>
    <t>Kepemimpinan...</t>
  </si>
  <si>
    <t>Keberadaan...</t>
  </si>
  <si>
    <t>Tujuan...</t>
  </si>
  <si>
    <t>Rata...</t>
  </si>
  <si>
    <t>Kecukupan...</t>
  </si>
  <si>
    <t>Unit...</t>
  </si>
  <si>
    <t>Dukungan...</t>
  </si>
  <si>
    <t>Total penerimaan dana dari mahasiswa</t>
  </si>
  <si>
    <t>Total penerimaan dana</t>
  </si>
  <si>
    <t>Dana ...</t>
  </si>
  <si>
    <t>Investasi...</t>
  </si>
  <si>
    <t>Rencana...</t>
  </si>
  <si>
    <t>Pemanfaatan...</t>
  </si>
  <si>
    <t>Media...</t>
  </si>
  <si>
    <t>Banyaknya...</t>
  </si>
  <si>
    <t>Besar...</t>
  </si>
  <si>
    <t>Banyak...</t>
  </si>
  <si>
    <t>UNTUK AKREDITASI PROGRAM STUDI JENJANG DIPLOMA</t>
  </si>
  <si>
    <t>Pada hari …………… tanggal …………2010 telah dilaksanakan asesmen lapangan</t>
  </si>
  <si>
    <t>..........., .... - .... - 2010</t>
  </si>
  <si>
    <t>1. ...</t>
  </si>
  <si>
    <t>2. ....</t>
  </si>
  <si>
    <t>Setelah isi tabel tersebut di atas diperiksa  dan disetujui oleh Ketua Program Studi.</t>
  </si>
  <si>
    <t>Ketua Program Studi atau yang Ditugaskan</t>
  </si>
  <si>
    <t>Dari kegiatan tersebut diperoleh informasi butir-butir borang yang sesuai/tidak sesuai dengan kenyataan, dengan penjelasan sebagai tercantum didalam daftar sebagai berikut:</t>
  </si>
  <si>
    <t>Pada hari …………… tanggal …………2009 telah dilaksanakan asesmen lapangan untuk akreditasi Program Studi ………….., Jurusan ………………, Fakultas ………,  Universitas/Institut/Sekolah Tinggi/Politeknik/Akademi *)………………………………..</t>
  </si>
  <si>
    <t>Informasi dari Borang Unit Pengelola PS Setelah Diverifikasi Melalui Wawancara dan Observasi</t>
  </si>
  <si>
    <t>Pimpinan Fakultas atau yang ditugaskan,</t>
  </si>
  <si>
    <t>(                                            )</t>
  </si>
  <si>
    <t>FORMAT 5. BERITA  ACARA ASESMEN LAPANGAN  FAKULTAS/SEK. TINGGI</t>
  </si>
  <si>
    <t>Penjelasan/Dasar Penilaian yang Diperoleh dari Dokumen Borang PS, Wawancara, dan Observasi</t>
  </si>
  <si>
    <t>Lalala</t>
  </si>
  <si>
    <t>FORMAT 7. LAPORAN PENILAIAN AKHIR EVALUASI DIRI PROGRAM STUDI</t>
  </si>
  <si>
    <t>Catatan: *skor 0 - 4</t>
  </si>
  <si>
    <t xml:space="preserve">Kejelasan... </t>
  </si>
  <si>
    <t>KETERANGAN DALAM BORANG PROGRAM STUDI</t>
  </si>
  <si>
    <t>KETERANGAN DALAM BORANG UNIT PENGELOLA PROGRAM STUDI</t>
  </si>
  <si>
    <t>f : Jumlah mhs yang lulus tepat waktu.</t>
  </si>
  <si>
    <t>d : Jumlah mhs yang diterima angkatan tsb.</t>
  </si>
  <si>
    <t>a : Jumlah mahasiswa yang diterima</t>
  </si>
  <si>
    <t>b : Jumlah mahasiswa yang masih aktif</t>
  </si>
  <si>
    <t>c : Jumlah mahasiswa yang telah lulus</t>
  </si>
  <si>
    <t>KD2</t>
  </si>
  <si>
    <t>Jumlah dosen tetap yang memiliki Sertifikat Kompetensi/Profesi/ Keahlian Praktis.</t>
  </si>
  <si>
    <r>
      <t xml:space="preserve">Jumlah judul buku teks dan </t>
    </r>
    <r>
      <rPr>
        <i/>
        <sz val="10"/>
        <rFont val="Arial"/>
        <family val="2"/>
      </rPr>
      <t>handbook</t>
    </r>
    <r>
      <rPr>
        <sz val="10"/>
        <rFont val="Arial"/>
        <family val="2"/>
      </rPr>
      <t xml:space="preserve"> (termasuk yang versi elektronik).</t>
    </r>
  </si>
  <si>
    <t>Persentase lulusan yang dipesan dan diterima oleh lembaga (instansi/industri)</t>
  </si>
  <si>
    <t>Persentase dosen tetap yang menjadi anggota masyarakat bidang ilmu tingkat nasional atau internasional (rentang nilai 0 - 1)</t>
  </si>
  <si>
    <t>Isikan: 0 jika bidang IPS, 1 jika bidang non IPS.</t>
  </si>
  <si>
    <t>Skor D1 IPS</t>
  </si>
  <si>
    <t>Skor D1 non IPS</t>
  </si>
  <si>
    <t>Skor D2 non IPS</t>
  </si>
  <si>
    <t>Skor D3 non IPS</t>
  </si>
  <si>
    <t>Skor D4 non IPS</t>
  </si>
  <si>
    <t>Skor D2 IPS</t>
  </si>
  <si>
    <t>Skor D3 IPS</t>
  </si>
  <si>
    <t>Skor D4 IPS</t>
  </si>
  <si>
    <t>Persentase paket naskah ujian yang mutunya baik dan sesuai dengan silabus mata kuliah.</t>
  </si>
  <si>
    <t>Persentase paket naskah ujian yang mutunya baik dan sesuai dengan silabus mata kuliah (Kisaran nilai 0 - 1)</t>
  </si>
  <si>
    <t>5.6</t>
  </si>
  <si>
    <t>Kualifikasi akademik dosen pembimbing tugas akhir. Persentase dosen pembimbing tugas akhir yang memiliki sertifikat kompetensi/profesi.</t>
  </si>
  <si>
    <t>Persentase modul untuk praktikum/praktek (Kisaran nilai 0 -1).</t>
  </si>
  <si>
    <t xml:space="preserve">Persentase modul untuk praktikum/praktek. </t>
  </si>
  <si>
    <t>Nilai (minimun nilainya 1)</t>
  </si>
  <si>
    <t>Nilai (minimum nilainya 1)</t>
  </si>
  <si>
    <t>Nilai (minimum nilainya 2)</t>
  </si>
  <si>
    <t>Rasio = A/B</t>
  </si>
  <si>
    <t>Skor (Kisaran nilai 2 - 4)</t>
  </si>
  <si>
    <t>Skor kebijakan tentang suasana akademik (1 - 4)</t>
  </si>
  <si>
    <t>Skor penyediaan sarana dan prasarana (1 - 4)</t>
  </si>
  <si>
    <t>Skor dukungan dana institusi (1 - 4)</t>
  </si>
  <si>
    <t>Skor pengembangan perilaku kecendekiawan (1 - 4)</t>
  </si>
  <si>
    <t>Rata-rata skor</t>
  </si>
  <si>
    <t>B = Jumlah program studi diploma sejenjang</t>
  </si>
  <si>
    <t>A = Jumlah skor seluruh program studi diploma sejenjang</t>
  </si>
  <si>
    <t>B = Jumlah program studi diploma.</t>
  </si>
  <si>
    <t>A = Jumlah skor rata-rata IPK lulusan untuk semua program studi diploma.</t>
  </si>
  <si>
    <t>FORMAT 8. LAPORAN PENILAIAN AKHIR BORANG FAKULTAS/SEK. TINGGI</t>
  </si>
  <si>
    <t>Penghargaan</t>
  </si>
  <si>
    <t>a : Sangat baik(Kisaran nilai 0 - 7)</t>
  </si>
  <si>
    <t>b : Baik (Kisaran nilai 0 - 7)</t>
  </si>
  <si>
    <t>c : Cukup (Kisaran nilai 0 - 7)</t>
  </si>
  <si>
    <t>d : Kurang (Kisaran nilai 0 - 7)</t>
  </si>
  <si>
    <t>Jml Mahasiswa bidang Non IPS (Eksata)</t>
  </si>
  <si>
    <t>Jml Mahasiswa bidang IPS</t>
  </si>
  <si>
    <t>Jml Dosen bidang Non IPS (Eksata)</t>
  </si>
  <si>
    <t>Jml Dosen bidang IPS</t>
  </si>
  <si>
    <t>Rasio Mhs:Dosen bidang Non IPS (Eksata)</t>
  </si>
  <si>
    <t>Rasio Mhs:Dosen bidang IPS</t>
  </si>
  <si>
    <t>bidang IPS</t>
  </si>
  <si>
    <t>bidang Non IPS (Eksakta)</t>
  </si>
  <si>
    <t>Persentase dosen berpendidikan S2 atau S3 (dalam %, kisaran nilai 0 - 100)</t>
  </si>
  <si>
    <t>Substansi dan pelaksanaan praktikum/praktek (kisaran nilai 1 - 4)</t>
  </si>
  <si>
    <t>Bentuk dan mutu karya/tugas akhir (nilai minimum 1, kisaran nilai 1 - 4)</t>
  </si>
  <si>
    <t>Kualifikasi akademik dosen pembimbing tugas akhir. Persentase dosen pembimbing tugas akhir yang memiliki sertifikat kompetensi/profesi (Kisaran nilai 0 - 1).</t>
  </si>
  <si>
    <t>Kelengkapan, kepemilikan, dan mutu prasarana (kantor, ruang kelas, ruang laboratorium, studio, ruang perpustakaan, kebun percobaan, dsb. kecuali  ruang dosen) yang dipergunakan PS dalam proses pembelajaran (Kisaran nilai 1 - 4).</t>
  </si>
  <si>
    <t>Nilai untuk akses ke perpustakaan lainnya (termasuk on-line), kisaran nilai 1 - 4.</t>
  </si>
  <si>
    <r>
      <t>Sistem informasi</t>
    </r>
    <r>
      <rPr>
        <sz val="10"/>
        <rFont val="Arial"/>
        <family val="2"/>
      </rPr>
      <t xml:space="preserve"> dan fasilitas yang digunakan PS</t>
    </r>
    <r>
      <rPr>
        <sz val="10"/>
        <color indexed="8"/>
        <rFont val="Arial"/>
        <family val="2"/>
      </rPr>
      <t xml:space="preserve"> dalam proses pembelajaran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hardware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software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e-learning,</t>
    </r>
    <r>
      <rPr>
        <sz val="10"/>
        <rFont val="Arial"/>
        <family val="2"/>
      </rPr>
      <t xml:space="preserve"> akses </t>
    </r>
    <r>
      <rPr>
        <i/>
        <sz val="10"/>
        <rFont val="Arial"/>
        <family val="2"/>
      </rPr>
      <t>on-line</t>
    </r>
    <r>
      <rPr>
        <sz val="10"/>
        <rFont val="Arial"/>
        <family val="2"/>
      </rPr>
      <t xml:space="preserve"> ke perpustakaan, dll.). Kisaran nilai 1 - 4.</t>
    </r>
  </si>
  <si>
    <t>Rasio = A/B, Kisaran nilai 1 - 4.</t>
  </si>
  <si>
    <t>Upaya unit pengelola program studi diploma dalam mengembangkan tenaga dosen tetap. Jika persentase dosen berpendidikan minimal S2 &gt; 90%, maka skor butir ini = 4.</t>
  </si>
  <si>
    <t>Dosen yang tugas belajar. Jika persentase dosen berpendidikan minimal S2 &gt; 90%, maka skor butir ini = 4.</t>
  </si>
  <si>
    <t>Kesesuaian bidang kerja lulusan dengan bidang studi.  Persentase lulusan yang bekerja sesuai dengan bidang ilmunya.  Kisaran nilai 0 - 1.</t>
  </si>
  <si>
    <t>Persentase lulusan yang dipesan dan diterima oleh lembaga (instansi/industri). Kisaran nilai 0 - 1.</t>
  </si>
  <si>
    <t>Dom</t>
  </si>
  <si>
    <t>Nilai untuk PS IPS</t>
  </si>
  <si>
    <t>Nilai untuk PS non IPS</t>
  </si>
  <si>
    <r>
      <t>Akses ke perpustakaan di luar PT atau sumber pustaka lainnya (</t>
    </r>
    <r>
      <rPr>
        <b/>
        <sz val="10"/>
        <rFont val="Arial"/>
        <family val="2"/>
      </rPr>
      <t xml:space="preserve">Nilai ini = 4 jika rata-rata nilai butir 6.4.1.1 s.d. 6.4.1.6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)</t>
    </r>
  </si>
  <si>
    <t>Jumlah artikel ilmiah tingkat internasional yang sesuai dengan bidang ilmu</t>
  </si>
  <si>
    <t>Jumlah artikel ilmiah tingkat nasional atau buku yang sesuai dengan bidang ilmu.</t>
  </si>
  <si>
    <t>Jumlah karya ilmiah (artikel dalam jurnal yang belum terakreditasi Dikti, jurnal ilmiah populer, koran, diktat) yang sesuai dengan bidang ilmu.</t>
  </si>
  <si>
    <t>A = Jumlah skor rata-rata masa studi untuk semua program studi diploma sejenjang.</t>
  </si>
  <si>
    <t>B = Jumlah program studi diploma sejenjang.</t>
  </si>
  <si>
    <t>No urut</t>
  </si>
  <si>
    <t>FORMAT 9. REKOMENDASI PEMBINAAN PROGRAM STUDI DIPLOMA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</si>
</sst>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b/>
      <sz val="20"/>
      <color indexed="5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D0D0D"/>
      <name val="Arial"/>
      <family val="2"/>
    </font>
    <font>
      <b/>
      <sz val="12"/>
      <color rgb="FF0D0D0D"/>
      <name val="Calibri"/>
      <family val="2"/>
    </font>
    <font>
      <b/>
      <sz val="14"/>
      <color theme="1"/>
      <name val="Calibri"/>
      <family val="2"/>
    </font>
    <font>
      <sz val="11"/>
      <color rgb="FF000000"/>
      <name val="Arial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u val="single"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rgb="FF000000"/>
      <name val="Arial Narrow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sz val="10"/>
      <color rgb="FF0D0D0D"/>
      <name val="Arial"/>
      <family val="2"/>
    </font>
    <font>
      <b/>
      <sz val="20"/>
      <color rgb="FF00206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bgColor rgb="FFB4B4B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19">
    <xf numFmtId="0" fontId="0" fillId="0" borderId="0" xfId="0" applyFont="1" applyAlignment="1">
      <alignment/>
    </xf>
    <xf numFmtId="0" fontId="74" fillId="0" borderId="0" xfId="0" applyFont="1" applyAlignment="1">
      <alignment horizontal="justify"/>
    </xf>
    <xf numFmtId="0" fontId="75" fillId="0" borderId="0" xfId="0" applyFont="1" applyAlignment="1">
      <alignment horizontal="justify"/>
    </xf>
    <xf numFmtId="0" fontId="76" fillId="0" borderId="10" xfId="0" applyFont="1" applyBorder="1" applyAlignment="1">
      <alignment horizontal="center" vertical="top" wrapText="1"/>
    </xf>
    <xf numFmtId="0" fontId="75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top" wrapText="1"/>
    </xf>
    <xf numFmtId="0" fontId="7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6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 vertical="top" wrapText="1"/>
    </xf>
    <xf numFmtId="0" fontId="76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78" fillId="0" borderId="0" xfId="0" applyFont="1" applyBorder="1" applyAlignment="1">
      <alignment vertical="top" wrapText="1"/>
    </xf>
    <xf numFmtId="0" fontId="74" fillId="0" borderId="0" xfId="0" applyFont="1" applyAlignment="1">
      <alignment horizontal="center"/>
    </xf>
    <xf numFmtId="0" fontId="75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9" fillId="0" borderId="10" xfId="0" applyFont="1" applyBorder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80" fillId="0" borderId="0" xfId="0" applyFont="1" applyAlignment="1">
      <alignment horizontal="left"/>
    </xf>
    <xf numFmtId="0" fontId="81" fillId="0" borderId="1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5" fillId="0" borderId="0" xfId="0" applyFont="1" applyAlignment="1">
      <alignment/>
    </xf>
    <xf numFmtId="0" fontId="82" fillId="0" borderId="0" xfId="0" applyFont="1" applyAlignment="1">
      <alignment horizontal="justify"/>
    </xf>
    <xf numFmtId="0" fontId="83" fillId="0" borderId="0" xfId="0" applyFont="1" applyAlignment="1">
      <alignment horizontal="left" indent="11"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75" fillId="0" borderId="0" xfId="0" applyFont="1" applyAlignment="1">
      <alignment vertical="center" wrapText="1"/>
    </xf>
    <xf numFmtId="0" fontId="80" fillId="0" borderId="0" xfId="0" applyFont="1" applyAlignment="1">
      <alignment/>
    </xf>
    <xf numFmtId="0" fontId="7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75" fillId="0" borderId="0" xfId="0" applyFont="1" applyAlignment="1">
      <alignment horizontal="center" vertical="center"/>
    </xf>
    <xf numFmtId="0" fontId="72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5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5" fillId="0" borderId="0" xfId="0" applyFont="1" applyAlignment="1">
      <alignment horizontal="left" vertical="top" wrapText="1"/>
    </xf>
    <xf numFmtId="0" fontId="8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86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7" fillId="0" borderId="0" xfId="0" applyFont="1" applyBorder="1" applyAlignment="1">
      <alignment/>
    </xf>
    <xf numFmtId="0" fontId="72" fillId="0" borderId="0" xfId="0" applyFont="1" applyBorder="1" applyAlignment="1">
      <alignment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72" fillId="0" borderId="15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72" fillId="0" borderId="14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8" fillId="0" borderId="0" xfId="0" applyFont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89" fillId="0" borderId="0" xfId="0" applyFont="1" applyAlignment="1" applyProtection="1">
      <alignment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>
      <alignment/>
    </xf>
    <xf numFmtId="0" fontId="90" fillId="0" borderId="0" xfId="0" applyFont="1" applyAlignment="1" applyProtection="1">
      <alignment horizontal="left"/>
      <protection locked="0"/>
    </xf>
    <xf numFmtId="0" fontId="91" fillId="0" borderId="0" xfId="0" applyFont="1" applyAlignment="1" applyProtection="1">
      <alignment horizontal="center"/>
      <protection locked="0"/>
    </xf>
    <xf numFmtId="0" fontId="91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2" fillId="0" borderId="0" xfId="0" applyFont="1" applyAlignment="1" applyProtection="1">
      <alignment horizontal="center"/>
      <protection locked="0"/>
    </xf>
    <xf numFmtId="0" fontId="9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/>
      <protection locked="0"/>
    </xf>
    <xf numFmtId="0" fontId="75" fillId="0" borderId="0" xfId="0" applyFont="1" applyAlignment="1" applyProtection="1">
      <alignment wrapText="1"/>
      <protection locked="0"/>
    </xf>
    <xf numFmtId="0" fontId="7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 wrapText="1"/>
      <protection locked="0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0" fontId="75" fillId="0" borderId="12" xfId="0" applyFont="1" applyBorder="1" applyAlignment="1" applyProtection="1">
      <alignment vertical="top" wrapText="1"/>
      <protection locked="0"/>
    </xf>
    <xf numFmtId="2" fontId="75" fillId="0" borderId="12" xfId="0" applyNumberFormat="1" applyFont="1" applyBorder="1" applyAlignment="1" applyProtection="1">
      <alignment horizontal="center" vertical="center" wrapText="1"/>
      <protection locked="0"/>
    </xf>
    <xf numFmtId="2" fontId="75" fillId="0" borderId="10" xfId="0" applyNumberFormat="1" applyFont="1" applyBorder="1" applyAlignment="1" applyProtection="1">
      <alignment horizontal="center" vertical="center" wrapText="1"/>
      <protection locked="0"/>
    </xf>
    <xf numFmtId="2" fontId="75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/>
      <protection locked="0"/>
    </xf>
    <xf numFmtId="0" fontId="75" fillId="0" borderId="0" xfId="0" applyFont="1" applyAlignment="1" applyProtection="1">
      <alignment horizontal="left"/>
      <protection locked="0"/>
    </xf>
    <xf numFmtId="0" fontId="75" fillId="0" borderId="0" xfId="0" applyFont="1" applyAlignment="1" applyProtection="1">
      <alignment horizontal="justify"/>
      <protection locked="0"/>
    </xf>
    <xf numFmtId="0" fontId="75" fillId="0" borderId="0" xfId="0" applyFont="1" applyAlignment="1" applyProtection="1">
      <alignment horizontal="center" vertical="top" wrapText="1"/>
      <protection locked="0"/>
    </xf>
    <xf numFmtId="0" fontId="75" fillId="0" borderId="0" xfId="0" applyFont="1" applyAlignment="1" applyProtection="1">
      <alignment vertical="center" wrapText="1"/>
      <protection locked="0"/>
    </xf>
    <xf numFmtId="0" fontId="77" fillId="0" borderId="11" xfId="0" applyFont="1" applyBorder="1" applyAlignment="1" applyProtection="1">
      <alignment horizontal="center" vertical="center" wrapText="1"/>
      <protection/>
    </xf>
    <xf numFmtId="0" fontId="94" fillId="0" borderId="14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left"/>
      <protection locked="0"/>
    </xf>
    <xf numFmtId="0" fontId="74" fillId="0" borderId="0" xfId="0" applyFont="1" applyAlignment="1" applyProtection="1">
      <alignment horizontal="center"/>
      <protection locked="0"/>
    </xf>
    <xf numFmtId="0" fontId="75" fillId="0" borderId="10" xfId="0" applyFont="1" applyBorder="1" applyAlignment="1" applyProtection="1">
      <alignment horizontal="center" vertical="center" wrapText="1"/>
      <protection locked="0"/>
    </xf>
    <xf numFmtId="0" fontId="78" fillId="0" borderId="13" xfId="0" applyFont="1" applyBorder="1" applyAlignment="1" applyProtection="1">
      <alignment horizontal="center" vertical="top" wrapText="1"/>
      <protection locked="0"/>
    </xf>
    <xf numFmtId="0" fontId="96" fillId="0" borderId="10" xfId="0" applyFont="1" applyBorder="1" applyAlignment="1" applyProtection="1">
      <alignment vertical="top" wrapText="1"/>
      <protection locked="0"/>
    </xf>
    <xf numFmtId="0" fontId="75" fillId="33" borderId="10" xfId="0" applyFont="1" applyFill="1" applyBorder="1" applyAlignment="1" applyProtection="1">
      <alignment horizontal="center" vertical="center" wrapText="1"/>
      <protection locked="0"/>
    </xf>
    <xf numFmtId="0" fontId="75" fillId="33" borderId="10" xfId="0" applyFont="1" applyFill="1" applyBorder="1" applyAlignment="1" applyProtection="1">
      <alignment horizontal="center" vertical="top" wrapText="1"/>
      <protection locked="0"/>
    </xf>
    <xf numFmtId="0" fontId="75" fillId="0" borderId="13" xfId="0" applyFont="1" applyBorder="1" applyAlignment="1" applyProtection="1">
      <alignment horizontal="center" vertical="top" wrapText="1"/>
      <protection locked="0"/>
    </xf>
    <xf numFmtId="0" fontId="97" fillId="0" borderId="10" xfId="0" applyFont="1" applyBorder="1" applyAlignment="1" applyProtection="1">
      <alignment vertical="top" wrapText="1"/>
      <protection locked="0"/>
    </xf>
    <xf numFmtId="0" fontId="75" fillId="0" borderId="12" xfId="0" applyFont="1" applyBorder="1" applyAlignment="1" applyProtection="1">
      <alignment horizontal="center" vertical="top" wrapText="1"/>
      <protection locked="0"/>
    </xf>
    <xf numFmtId="0" fontId="97" fillId="0" borderId="12" xfId="0" applyFont="1" applyBorder="1" applyAlignment="1" applyProtection="1">
      <alignment vertical="top" wrapText="1"/>
      <protection locked="0"/>
    </xf>
    <xf numFmtId="0" fontId="75" fillId="0" borderId="12" xfId="0" applyFont="1" applyBorder="1" applyAlignment="1" applyProtection="1">
      <alignment horizontal="center" vertical="center" wrapText="1"/>
      <protection locked="0"/>
    </xf>
    <xf numFmtId="0" fontId="75" fillId="0" borderId="21" xfId="0" applyFont="1" applyBorder="1" applyAlignment="1" applyProtection="1">
      <alignment horizontal="center" vertical="top" wrapText="1"/>
      <protection locked="0"/>
    </xf>
    <xf numFmtId="0" fontId="97" fillId="0" borderId="21" xfId="0" applyFont="1" applyBorder="1" applyAlignment="1" applyProtection="1">
      <alignment vertical="top" wrapText="1"/>
      <protection locked="0"/>
    </xf>
    <xf numFmtId="0" fontId="78" fillId="0" borderId="12" xfId="0" applyFont="1" applyBorder="1" applyAlignment="1" applyProtection="1">
      <alignment horizontal="center" vertical="top" wrapText="1"/>
      <protection locked="0"/>
    </xf>
    <xf numFmtId="0" fontId="78" fillId="0" borderId="0" xfId="0" applyFont="1" applyAlignment="1" applyProtection="1">
      <alignment horizontal="left"/>
      <protection locked="0"/>
    </xf>
    <xf numFmtId="0" fontId="75" fillId="0" borderId="0" xfId="0" applyFont="1" applyBorder="1" applyAlignment="1" applyProtection="1">
      <alignment horizontal="center" vertical="top" wrapText="1"/>
      <protection locked="0"/>
    </xf>
    <xf numFmtId="0" fontId="7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vertical="top" wrapText="1"/>
      <protection locked="0"/>
    </xf>
    <xf numFmtId="0" fontId="75" fillId="0" borderId="0" xfId="0" applyFont="1" applyBorder="1" applyAlignment="1" applyProtection="1">
      <alignment horizontal="center" wrapText="1"/>
      <protection locked="0"/>
    </xf>
    <xf numFmtId="0" fontId="75" fillId="33" borderId="10" xfId="0" applyFont="1" applyFill="1" applyBorder="1" applyAlignment="1" applyProtection="1">
      <alignment horizontal="center" vertical="center" wrapText="1"/>
      <protection/>
    </xf>
    <xf numFmtId="0" fontId="98" fillId="0" borderId="10" xfId="0" applyFont="1" applyBorder="1" applyAlignment="1" applyProtection="1">
      <alignment horizontal="center" vertical="center" wrapText="1"/>
      <protection/>
    </xf>
    <xf numFmtId="0" fontId="98" fillId="0" borderId="12" xfId="0" applyFont="1" applyBorder="1" applyAlignment="1" applyProtection="1">
      <alignment horizontal="center" vertical="center" wrapText="1"/>
      <protection/>
    </xf>
    <xf numFmtId="0" fontId="98" fillId="0" borderId="21" xfId="0" applyFont="1" applyBorder="1" applyAlignment="1" applyProtection="1">
      <alignment horizontal="center" vertical="center" wrapText="1"/>
      <protection/>
    </xf>
    <xf numFmtId="0" fontId="75" fillId="0" borderId="12" xfId="0" applyFont="1" applyBorder="1" applyAlignment="1" applyProtection="1">
      <alignment horizontal="center" vertical="center" wrapText="1"/>
      <protection/>
    </xf>
    <xf numFmtId="0" fontId="75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7" fillId="0" borderId="12" xfId="0" applyFont="1" applyBorder="1" applyAlignment="1" applyProtection="1">
      <alignment horizontal="center" wrapText="1"/>
      <protection locked="0"/>
    </xf>
    <xf numFmtId="0" fontId="77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79" fillId="0" borderId="0" xfId="0" applyFont="1" applyBorder="1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2" fontId="7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2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5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75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7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99" fillId="0" borderId="0" xfId="0" applyFont="1" applyAlignment="1">
      <alignment horizontal="center"/>
    </xf>
    <xf numFmtId="0" fontId="99" fillId="0" borderId="0" xfId="0" applyFont="1" applyAlignment="1">
      <alignment/>
    </xf>
    <xf numFmtId="0" fontId="99" fillId="0" borderId="0" xfId="0" applyFont="1" applyAlignment="1" applyProtection="1">
      <alignment horizontal="center"/>
      <protection/>
    </xf>
    <xf numFmtId="0" fontId="99" fillId="0" borderId="0" xfId="0" applyFont="1" applyAlignment="1" applyProtection="1">
      <alignment/>
      <protection/>
    </xf>
    <xf numFmtId="0" fontId="74" fillId="0" borderId="0" xfId="0" applyFont="1" applyAlignment="1">
      <alignment horizontal="left"/>
    </xf>
    <xf numFmtId="0" fontId="81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0" xfId="0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 horizontal="left"/>
    </xf>
    <xf numFmtId="0" fontId="0" fillId="0" borderId="14" xfId="0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81" fillId="0" borderId="11" xfId="0" applyFont="1" applyBorder="1" applyAlignment="1" applyProtection="1">
      <alignment horizontal="left" vertical="top" wrapText="1"/>
      <protection locked="0"/>
    </xf>
    <xf numFmtId="2" fontId="79" fillId="0" borderId="12" xfId="0" applyNumberFormat="1" applyFont="1" applyBorder="1" applyAlignment="1" applyProtection="1">
      <alignment horizontal="center" vertical="center" wrapText="1"/>
      <protection/>
    </xf>
    <xf numFmtId="2" fontId="79" fillId="0" borderId="10" xfId="0" applyNumberFormat="1" applyFont="1" applyBorder="1" applyAlignment="1" applyProtection="1">
      <alignment horizontal="center" vertical="center" wrapText="1"/>
      <protection/>
    </xf>
    <xf numFmtId="2" fontId="79" fillId="0" borderId="21" xfId="0" applyNumberFormat="1" applyFont="1" applyBorder="1" applyAlignment="1" applyProtection="1">
      <alignment horizontal="center" vertical="center" wrapText="1"/>
      <protection/>
    </xf>
    <xf numFmtId="2" fontId="79" fillId="0" borderId="23" xfId="0" applyNumberFormat="1" applyFont="1" applyBorder="1" applyAlignment="1" applyProtection="1">
      <alignment horizontal="center" vertical="center" wrapText="1"/>
      <protection/>
    </xf>
    <xf numFmtId="2" fontId="79" fillId="0" borderId="24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76" fillId="0" borderId="0" xfId="0" applyFont="1" applyAlignment="1" applyProtection="1">
      <alignment horizontal="left" vertical="top" wrapText="1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00" fillId="0" borderId="0" xfId="0" applyFont="1" applyAlignment="1" applyProtection="1">
      <alignment horizontal="center" vertical="center"/>
      <protection/>
    </xf>
    <xf numFmtId="0" fontId="89" fillId="0" borderId="25" xfId="0" applyFont="1" applyFill="1" applyBorder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85" fillId="34" borderId="26" xfId="0" applyFont="1" applyFill="1" applyBorder="1" applyAlignment="1" applyProtection="1">
      <alignment horizontal="center" vertical="center" wrapText="1"/>
      <protection/>
    </xf>
    <xf numFmtId="0" fontId="85" fillId="34" borderId="27" xfId="0" applyFont="1" applyFill="1" applyBorder="1" applyAlignment="1" applyProtection="1">
      <alignment horizontal="center" vertical="center" wrapText="1"/>
      <protection/>
    </xf>
    <xf numFmtId="0" fontId="85" fillId="34" borderId="2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81" fillId="0" borderId="29" xfId="0" applyFont="1" applyBorder="1" applyAlignment="1">
      <alignment vertical="center"/>
    </xf>
    <xf numFmtId="0" fontId="0" fillId="0" borderId="30" xfId="0" applyFont="1" applyBorder="1" applyAlignment="1" applyProtection="1">
      <alignment/>
      <protection/>
    </xf>
    <xf numFmtId="0" fontId="101" fillId="0" borderId="0" xfId="0" applyFont="1" applyAlignment="1" applyProtection="1">
      <alignment horizontal="left" vertical="top" wrapText="1"/>
      <protection/>
    </xf>
    <xf numFmtId="0" fontId="76" fillId="0" borderId="0" xfId="0" applyFont="1" applyAlignment="1">
      <alignment horizontal="left" vertical="top" wrapText="1"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35" borderId="31" xfId="0" applyFill="1" applyBorder="1" applyAlignment="1" applyProtection="1">
      <alignment horizontal="center" vertical="center"/>
      <protection locked="0"/>
    </xf>
    <xf numFmtId="0" fontId="0" fillId="36" borderId="32" xfId="0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7" borderId="33" xfId="0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36" borderId="3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5" borderId="3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2" fontId="0" fillId="35" borderId="31" xfId="0" applyNumberFormat="1" applyFill="1" applyBorder="1" applyAlignment="1" applyProtection="1">
      <alignment horizontal="center" vertical="center"/>
      <protection locked="0"/>
    </xf>
    <xf numFmtId="2" fontId="0" fillId="35" borderId="33" xfId="0" applyNumberFormat="1" applyFill="1" applyBorder="1" applyAlignment="1" applyProtection="1">
      <alignment horizontal="center" vertical="center"/>
      <protection locked="0"/>
    </xf>
    <xf numFmtId="0" fontId="0" fillId="37" borderId="32" xfId="0" applyFill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53" fillId="35" borderId="31" xfId="0" applyFont="1" applyFill="1" applyBorder="1" applyAlignment="1" applyProtection="1">
      <alignment horizontal="center" vertical="center"/>
      <protection locked="0"/>
    </xf>
    <xf numFmtId="0" fontId="53" fillId="36" borderId="32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81" fillId="0" borderId="34" xfId="0" applyFont="1" applyBorder="1" applyAlignment="1" applyProtection="1">
      <alignment horizontal="left" vertical="top" wrapText="1"/>
      <protection locked="0"/>
    </xf>
    <xf numFmtId="2" fontId="79" fillId="0" borderId="36" xfId="0" applyNumberFormat="1" applyFont="1" applyBorder="1" applyAlignment="1" applyProtection="1">
      <alignment horizontal="center" vertical="center" wrapText="1"/>
      <protection/>
    </xf>
    <xf numFmtId="2" fontId="7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76" fillId="0" borderId="0" xfId="0" applyFont="1" applyFill="1" applyAlignment="1">
      <alignment horizontal="left" vertical="top" wrapText="1"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37" borderId="33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76" fillId="0" borderId="31" xfId="0" applyFont="1" applyBorder="1" applyAlignment="1">
      <alignment vertical="center"/>
    </xf>
    <xf numFmtId="0" fontId="0" fillId="0" borderId="19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85" fillId="2" borderId="12" xfId="0" applyFont="1" applyFill="1" applyBorder="1" applyAlignment="1" applyProtection="1">
      <alignment horizontal="center" vertical="center" wrapText="1"/>
      <protection/>
    </xf>
    <xf numFmtId="0" fontId="76" fillId="0" borderId="19" xfId="0" applyFont="1" applyBorder="1" applyAlignment="1">
      <alignment/>
    </xf>
    <xf numFmtId="0" fontId="0" fillId="0" borderId="19" xfId="0" applyFill="1" applyBorder="1" applyAlignment="1" applyProtection="1">
      <alignment/>
      <protection/>
    </xf>
    <xf numFmtId="0" fontId="0" fillId="0" borderId="1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76" fillId="0" borderId="0" xfId="0" applyFont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top" wrapText="1"/>
    </xf>
    <xf numFmtId="0" fontId="0" fillId="36" borderId="41" xfId="0" applyFill="1" applyBorder="1" applyAlignment="1">
      <alignment horizontal="center" vertical="center"/>
    </xf>
    <xf numFmtId="0" fontId="75" fillId="0" borderId="0" xfId="0" applyFont="1" applyAlignment="1">
      <alignment vertical="top" wrapText="1"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left" vertical="top" wrapText="1"/>
    </xf>
    <xf numFmtId="0" fontId="7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81" fillId="0" borderId="0" xfId="0" applyFont="1" applyBorder="1" applyAlignment="1">
      <alignment horizontal="center" vertical="center" wrapText="1"/>
    </xf>
    <xf numFmtId="0" fontId="102" fillId="0" borderId="12" xfId="0" applyFont="1" applyBorder="1" applyAlignment="1" applyProtection="1">
      <alignment horizontal="left" vertical="top"/>
      <protection locked="0"/>
    </xf>
    <xf numFmtId="0" fontId="74" fillId="0" borderId="12" xfId="0" applyFont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left" vertical="top"/>
      <protection locked="0"/>
    </xf>
    <xf numFmtId="0" fontId="81" fillId="0" borderId="10" xfId="0" applyFont="1" applyBorder="1" applyAlignment="1" applyProtection="1">
      <alignment horizontal="left" vertical="top" wrapText="1"/>
      <protection locked="0"/>
    </xf>
    <xf numFmtId="0" fontId="81" fillId="33" borderId="10" xfId="0" applyFont="1" applyFill="1" applyBorder="1" applyAlignment="1" applyProtection="1">
      <alignment horizontal="left" vertical="top" wrapText="1"/>
      <protection locked="0"/>
    </xf>
    <xf numFmtId="0" fontId="81" fillId="0" borderId="12" xfId="0" applyFont="1" applyBorder="1" applyAlignment="1" applyProtection="1">
      <alignment horizontal="left" vertical="top" wrapText="1"/>
      <protection locked="0"/>
    </xf>
    <xf numFmtId="0" fontId="81" fillId="0" borderId="21" xfId="0" applyFont="1" applyBorder="1" applyAlignment="1" applyProtection="1">
      <alignment horizontal="left" vertical="top" wrapText="1"/>
      <protection locked="0"/>
    </xf>
    <xf numFmtId="0" fontId="81" fillId="33" borderId="12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Alignment="1" applyProtection="1">
      <alignment/>
      <protection locked="0"/>
    </xf>
    <xf numFmtId="0" fontId="76" fillId="0" borderId="0" xfId="0" applyFont="1" applyAlignment="1" applyProtection="1">
      <alignment/>
      <protection/>
    </xf>
    <xf numFmtId="0" fontId="76" fillId="0" borderId="14" xfId="0" applyFont="1" applyBorder="1" applyAlignment="1" applyProtection="1">
      <alignment/>
      <protection/>
    </xf>
    <xf numFmtId="0" fontId="76" fillId="0" borderId="14" xfId="0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center" vertical="center"/>
      <protection/>
    </xf>
    <xf numFmtId="0" fontId="76" fillId="35" borderId="14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6" fillId="35" borderId="31" xfId="0" applyFont="1" applyFill="1" applyBorder="1" applyAlignment="1" applyProtection="1">
      <alignment horizontal="center" vertical="center"/>
      <protection locked="0"/>
    </xf>
    <xf numFmtId="0" fontId="76" fillId="35" borderId="33" xfId="0" applyFont="1" applyFill="1" applyBorder="1" applyAlignment="1" applyProtection="1">
      <alignment horizontal="center" vertical="center"/>
      <protection locked="0"/>
    </xf>
    <xf numFmtId="0" fontId="76" fillId="37" borderId="33" xfId="0" applyFont="1" applyFill="1" applyBorder="1" applyAlignment="1" applyProtection="1">
      <alignment horizontal="center" vertical="center"/>
      <protection/>
    </xf>
    <xf numFmtId="0" fontId="76" fillId="36" borderId="32" xfId="0" applyFont="1" applyFill="1" applyBorder="1" applyAlignment="1" applyProtection="1">
      <alignment horizontal="center" vertical="center"/>
      <protection/>
    </xf>
    <xf numFmtId="0" fontId="103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left" vertical="top"/>
    </xf>
    <xf numFmtId="0" fontId="90" fillId="34" borderId="26" xfId="0" applyFont="1" applyFill="1" applyBorder="1" applyAlignment="1" applyProtection="1">
      <alignment horizontal="center" vertical="center" wrapText="1"/>
      <protection/>
    </xf>
    <xf numFmtId="0" fontId="90" fillId="34" borderId="27" xfId="0" applyFont="1" applyFill="1" applyBorder="1" applyAlignment="1" applyProtection="1">
      <alignment horizontal="center" vertical="center" wrapText="1"/>
      <protection/>
    </xf>
    <xf numFmtId="0" fontId="90" fillId="34" borderId="42" xfId="0" applyFont="1" applyFill="1" applyBorder="1" applyAlignment="1" applyProtection="1">
      <alignment horizontal="center" vertical="center" wrapText="1"/>
      <protection/>
    </xf>
    <xf numFmtId="2" fontId="10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7" xfId="0" applyFont="1" applyBorder="1" applyAlignment="1" applyProtection="1">
      <alignment/>
      <protection/>
    </xf>
    <xf numFmtId="0" fontId="76" fillId="0" borderId="18" xfId="0" applyFont="1" applyBorder="1" applyAlignment="1" applyProtection="1">
      <alignment/>
      <protection/>
    </xf>
    <xf numFmtId="0" fontId="76" fillId="0" borderId="14" xfId="0" applyFont="1" applyBorder="1" applyAlignment="1" applyProtection="1">
      <alignment/>
      <protection/>
    </xf>
    <xf numFmtId="0" fontId="76" fillId="0" borderId="31" xfId="0" applyFont="1" applyBorder="1" applyAlignment="1" applyProtection="1">
      <alignment horizontal="center" vertical="center"/>
      <protection/>
    </xf>
    <xf numFmtId="0" fontId="76" fillId="0" borderId="19" xfId="0" applyFont="1" applyBorder="1" applyAlignment="1" applyProtection="1">
      <alignment/>
      <protection/>
    </xf>
    <xf numFmtId="0" fontId="76" fillId="0" borderId="19" xfId="0" applyFont="1" applyBorder="1" applyAlignment="1" applyProtection="1">
      <alignment/>
      <protection/>
    </xf>
    <xf numFmtId="0" fontId="76" fillId="0" borderId="30" xfId="0" applyFont="1" applyBorder="1" applyAlignment="1" applyProtection="1">
      <alignment/>
      <protection/>
    </xf>
    <xf numFmtId="0" fontId="76" fillId="0" borderId="19" xfId="0" applyFont="1" applyFill="1" applyBorder="1" applyAlignment="1" applyProtection="1">
      <alignment/>
      <protection/>
    </xf>
    <xf numFmtId="0" fontId="76" fillId="0" borderId="17" xfId="0" applyFont="1" applyFill="1" applyBorder="1" applyAlignment="1" applyProtection="1">
      <alignment/>
      <protection/>
    </xf>
    <xf numFmtId="0" fontId="76" fillId="0" borderId="31" xfId="0" applyFont="1" applyFill="1" applyBorder="1" applyAlignment="1" applyProtection="1">
      <alignment horizontal="center" vertical="center"/>
      <protection/>
    </xf>
    <xf numFmtId="0" fontId="76" fillId="0" borderId="19" xfId="0" applyFont="1" applyFill="1" applyBorder="1" applyAlignment="1" applyProtection="1">
      <alignment horizontal="left"/>
      <protection/>
    </xf>
    <xf numFmtId="0" fontId="81" fillId="0" borderId="29" xfId="0" applyFont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81" fillId="0" borderId="0" xfId="0" applyFont="1" applyBorder="1" applyAlignment="1">
      <alignment horizontal="left" vertical="top" wrapText="1"/>
    </xf>
    <xf numFmtId="0" fontId="105" fillId="0" borderId="43" xfId="0" applyFont="1" applyFill="1" applyBorder="1" applyAlignment="1" applyProtection="1">
      <alignment/>
      <protection/>
    </xf>
    <xf numFmtId="0" fontId="105" fillId="0" borderId="43" xfId="0" applyFont="1" applyBorder="1" applyAlignment="1" applyProtection="1">
      <alignment/>
      <protection/>
    </xf>
    <xf numFmtId="0" fontId="76" fillId="0" borderId="43" xfId="0" applyFont="1" applyBorder="1" applyAlignment="1" applyProtection="1">
      <alignment horizontal="center" vertical="center"/>
      <protection/>
    </xf>
    <xf numFmtId="0" fontId="76" fillId="0" borderId="12" xfId="0" applyFont="1" applyBorder="1" applyAlignment="1" applyProtection="1">
      <alignment horizontal="left" vertical="top"/>
      <protection locked="0"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top"/>
    </xf>
    <xf numFmtId="0" fontId="75" fillId="0" borderId="10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74" fillId="0" borderId="0" xfId="0" applyFont="1" applyAlignment="1">
      <alignment vertical="center"/>
    </xf>
    <xf numFmtId="0" fontId="0" fillId="35" borderId="12" xfId="0" applyFill="1" applyBorder="1" applyAlignment="1" applyProtection="1">
      <alignment horizontal="left" vertical="top"/>
      <protection locked="0"/>
    </xf>
    <xf numFmtId="0" fontId="106" fillId="2" borderId="12" xfId="0" applyFont="1" applyFill="1" applyBorder="1" applyAlignment="1" applyProtection="1">
      <alignment horizontal="center" vertical="center" wrapText="1"/>
      <protection/>
    </xf>
    <xf numFmtId="0" fontId="76" fillId="35" borderId="12" xfId="0" applyFont="1" applyFill="1" applyBorder="1" applyAlignment="1" applyProtection="1">
      <alignment horizontal="left" vertical="top" wrapText="1"/>
      <protection locked="0"/>
    </xf>
    <xf numFmtId="0" fontId="76" fillId="35" borderId="12" xfId="0" applyFont="1" applyFill="1" applyBorder="1" applyAlignment="1" applyProtection="1">
      <alignment vertical="center"/>
      <protection locked="0"/>
    </xf>
    <xf numFmtId="0" fontId="0" fillId="37" borderId="31" xfId="0" applyFill="1" applyBorder="1" applyAlignment="1" applyProtection="1">
      <alignment horizontal="center" vertical="center"/>
      <protection/>
    </xf>
    <xf numFmtId="2" fontId="72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2" fontId="0" fillId="0" borderId="44" xfId="0" applyNumberForma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2" fontId="0" fillId="0" borderId="4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46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37" borderId="47" xfId="0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0" fillId="37" borderId="35" xfId="0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6" fillId="0" borderId="19" xfId="0" applyFont="1" applyBorder="1" applyAlignment="1">
      <alignment horizontal="left" vertical="top"/>
    </xf>
    <xf numFmtId="0" fontId="0" fillId="0" borderId="46" xfId="0" applyBorder="1" applyAlignment="1">
      <alignment horizontal="left"/>
    </xf>
    <xf numFmtId="0" fontId="107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6" fillId="0" borderId="17" xfId="0" applyFont="1" applyFill="1" applyBorder="1" applyAlignment="1" applyProtection="1">
      <alignment horizontal="left"/>
      <protection/>
    </xf>
    <xf numFmtId="0" fontId="76" fillId="0" borderId="18" xfId="0" applyFont="1" applyFill="1" applyBorder="1" applyAlignment="1" applyProtection="1">
      <alignment horizontal="left"/>
      <protection/>
    </xf>
    <xf numFmtId="0" fontId="0" fillId="0" borderId="48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6" fillId="35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vertical="center"/>
    </xf>
    <xf numFmtId="0" fontId="76" fillId="0" borderId="14" xfId="0" applyFont="1" applyBorder="1" applyAlignment="1" applyProtection="1">
      <alignment horizontal="left" vertical="top" wrapText="1"/>
      <protection/>
    </xf>
    <xf numFmtId="0" fontId="76" fillId="0" borderId="14" xfId="0" applyFont="1" applyBorder="1" applyAlignment="1" applyProtection="1">
      <alignment wrapText="1"/>
      <protection/>
    </xf>
    <xf numFmtId="0" fontId="9" fillId="0" borderId="19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top" wrapText="1"/>
    </xf>
    <xf numFmtId="0" fontId="76" fillId="37" borderId="4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81" fillId="0" borderId="14" xfId="0" applyFont="1" applyBorder="1" applyAlignment="1">
      <alignment horizontal="left" vertical="top" wrapText="1"/>
    </xf>
    <xf numFmtId="0" fontId="81" fillId="0" borderId="43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left" vertical="top"/>
    </xf>
    <xf numFmtId="0" fontId="76" fillId="35" borderId="35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Alignment="1" applyProtection="1">
      <alignment/>
      <protection/>
    </xf>
    <xf numFmtId="2" fontId="76" fillId="36" borderId="32" xfId="0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left" wrapText="1"/>
      <protection locked="0"/>
    </xf>
    <xf numFmtId="0" fontId="7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81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81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08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44" xfId="0" applyFont="1" applyBorder="1" applyAlignment="1" applyProtection="1">
      <alignment vertical="center" wrapText="1"/>
      <protection locked="0"/>
    </xf>
    <xf numFmtId="2" fontId="72" fillId="0" borderId="12" xfId="0" applyNumberFormat="1" applyFont="1" applyBorder="1" applyAlignment="1" applyProtection="1">
      <alignment horizontal="center" vertical="center"/>
      <protection/>
    </xf>
    <xf numFmtId="2" fontId="72" fillId="0" borderId="0" xfId="0" applyNumberFormat="1" applyFont="1" applyAlignment="1" applyProtection="1">
      <alignment horizontal="center" vertical="center"/>
      <protection/>
    </xf>
    <xf numFmtId="2" fontId="79" fillId="0" borderId="12" xfId="0" applyNumberFormat="1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vertical="top"/>
      <protection locked="0"/>
    </xf>
    <xf numFmtId="0" fontId="7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left" vertical="top"/>
      <protection locked="0"/>
    </xf>
    <xf numFmtId="0" fontId="75" fillId="0" borderId="0" xfId="0" applyFont="1" applyAlignment="1" applyProtection="1">
      <alignment vertical="top"/>
      <protection locked="0"/>
    </xf>
    <xf numFmtId="0" fontId="77" fillId="0" borderId="10" xfId="0" applyFont="1" applyBorder="1" applyAlignment="1" applyProtection="1">
      <alignment horizontal="left" vertical="center" wrapText="1"/>
      <protection locked="0"/>
    </xf>
    <xf numFmtId="0" fontId="81" fillId="0" borderId="12" xfId="0" applyFont="1" applyBorder="1" applyAlignment="1" applyProtection="1">
      <alignment horizontal="center" vertical="top" wrapText="1"/>
      <protection locked="0"/>
    </xf>
    <xf numFmtId="0" fontId="76" fillId="0" borderId="11" xfId="0" applyFont="1" applyBorder="1" applyAlignment="1" applyProtection="1">
      <alignment horizontal="center" vertical="top" wrapText="1"/>
      <protection locked="0"/>
    </xf>
    <xf numFmtId="0" fontId="75" fillId="0" borderId="10" xfId="0" applyFont="1" applyBorder="1" applyAlignment="1" applyProtection="1">
      <alignment horizontal="center" vertical="top" wrapText="1"/>
      <protection locked="0"/>
    </xf>
    <xf numFmtId="0" fontId="81" fillId="0" borderId="12" xfId="0" applyFont="1" applyBorder="1" applyAlignment="1" applyProtection="1">
      <alignment horizontal="justify" vertical="top" wrapText="1"/>
      <protection locked="0"/>
    </xf>
    <xf numFmtId="0" fontId="75" fillId="0" borderId="11" xfId="0" applyFont="1" applyBorder="1" applyAlignment="1" applyProtection="1">
      <alignment horizontal="justify" vertical="top" wrapText="1"/>
      <protection locked="0"/>
    </xf>
    <xf numFmtId="0" fontId="75" fillId="0" borderId="10" xfId="0" applyFont="1" applyBorder="1" applyAlignment="1" applyProtection="1">
      <alignment horizontal="justify" vertical="top" wrapText="1"/>
      <protection locked="0"/>
    </xf>
    <xf numFmtId="0" fontId="76" fillId="0" borderId="49" xfId="0" applyFont="1" applyBorder="1" applyAlignment="1" applyProtection="1">
      <alignment horizontal="center" vertical="top" wrapText="1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75" fillId="0" borderId="0" xfId="0" applyFont="1" applyAlignment="1" applyProtection="1">
      <alignment horizontal="left" vertical="top" wrapText="1"/>
      <protection locked="0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0" fontId="96" fillId="0" borderId="10" xfId="0" applyFont="1" applyBorder="1" applyAlignment="1" applyProtection="1">
      <alignment horizontal="left" vertical="top" wrapText="1"/>
      <protection locked="0"/>
    </xf>
    <xf numFmtId="0" fontId="75" fillId="33" borderId="10" xfId="0" applyFont="1" applyFill="1" applyBorder="1" applyAlignment="1" applyProtection="1">
      <alignment horizontal="justify" vertical="center" wrapText="1"/>
      <protection locked="0"/>
    </xf>
    <xf numFmtId="0" fontId="75" fillId="33" borderId="10" xfId="0" applyFont="1" applyFill="1" applyBorder="1" applyAlignment="1" applyProtection="1">
      <alignment horizontal="justify" vertical="top" wrapText="1"/>
      <protection locked="0"/>
    </xf>
    <xf numFmtId="0" fontId="97" fillId="0" borderId="10" xfId="0" applyFont="1" applyBorder="1" applyAlignment="1" applyProtection="1">
      <alignment horizontal="left" vertical="top" wrapText="1"/>
      <protection locked="0"/>
    </xf>
    <xf numFmtId="0" fontId="97" fillId="0" borderId="12" xfId="0" applyFont="1" applyBorder="1" applyAlignment="1" applyProtection="1">
      <alignment horizontal="left" vertical="top" wrapText="1"/>
      <protection locked="0"/>
    </xf>
    <xf numFmtId="0" fontId="75" fillId="0" borderId="12" xfId="0" applyFont="1" applyBorder="1" applyAlignment="1" applyProtection="1">
      <alignment horizontal="justify" vertical="top" wrapText="1"/>
      <protection locked="0"/>
    </xf>
    <xf numFmtId="0" fontId="96" fillId="0" borderId="12" xfId="0" applyFont="1" applyBorder="1" applyAlignment="1" applyProtection="1">
      <alignment horizontal="left" vertical="top" wrapText="1"/>
      <protection locked="0"/>
    </xf>
    <xf numFmtId="0" fontId="75" fillId="33" borderId="12" xfId="0" applyFont="1" applyFill="1" applyBorder="1" applyAlignment="1" applyProtection="1">
      <alignment horizontal="center" vertical="center" wrapText="1"/>
      <protection locked="0"/>
    </xf>
    <xf numFmtId="0" fontId="75" fillId="33" borderId="12" xfId="0" applyFont="1" applyFill="1" applyBorder="1" applyAlignment="1" applyProtection="1">
      <alignment horizontal="justify" vertical="top" wrapText="1"/>
      <protection locked="0"/>
    </xf>
    <xf numFmtId="0" fontId="97" fillId="0" borderId="12" xfId="0" applyFont="1" applyBorder="1" applyAlignment="1" applyProtection="1">
      <alignment horizontal="center" vertical="center" wrapText="1"/>
      <protection locked="0"/>
    </xf>
    <xf numFmtId="0" fontId="78" fillId="0" borderId="12" xfId="0" applyFont="1" applyBorder="1" applyAlignment="1" applyProtection="1">
      <alignment vertical="top" wrapText="1"/>
      <protection locked="0"/>
    </xf>
    <xf numFmtId="0" fontId="75" fillId="33" borderId="12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81" fillId="0" borderId="13" xfId="0" applyFont="1" applyBorder="1" applyAlignment="1" applyProtection="1">
      <alignment horizontal="center" vertical="top" wrapText="1"/>
      <protection locked="0"/>
    </xf>
    <xf numFmtId="0" fontId="76" fillId="0" borderId="10" xfId="0" applyFont="1" applyBorder="1" applyAlignment="1" applyProtection="1">
      <alignment horizontal="center" vertical="top" wrapText="1"/>
      <protection locked="0"/>
    </xf>
    <xf numFmtId="2" fontId="0" fillId="0" borderId="14" xfId="0" applyNumberForma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35" borderId="31" xfId="0" applyNumberFormat="1" applyFill="1" applyBorder="1" applyAlignment="1" applyProtection="1">
      <alignment horizontal="center" vertical="center"/>
      <protection locked="0"/>
    </xf>
    <xf numFmtId="0" fontId="0" fillId="36" borderId="32" xfId="0" applyFill="1" applyBorder="1" applyAlignment="1" applyProtection="1">
      <alignment horizontal="center" vertical="center" wrapText="1"/>
      <protection/>
    </xf>
    <xf numFmtId="0" fontId="0" fillId="35" borderId="50" xfId="0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left" vertical="top" wrapText="1"/>
      <protection/>
    </xf>
    <xf numFmtId="0" fontId="76" fillId="0" borderId="0" xfId="0" applyFont="1" applyAlignment="1" applyProtection="1">
      <alignment horizontal="center" vertical="center" wrapText="1"/>
      <protection/>
    </xf>
    <xf numFmtId="0" fontId="76" fillId="36" borderId="32" xfId="0" applyFont="1" applyFill="1" applyBorder="1" applyAlignment="1" applyProtection="1">
      <alignment horizontal="center" vertical="center" wrapText="1"/>
      <protection/>
    </xf>
    <xf numFmtId="0" fontId="76" fillId="0" borderId="19" xfId="0" applyFont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 vertical="top" wrapText="1"/>
      <protection/>
    </xf>
    <xf numFmtId="0" fontId="0" fillId="0" borderId="14" xfId="0" applyBorder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 applyProtection="1">
      <alignment horizontal="left" wrapText="1"/>
      <protection locked="0"/>
    </xf>
    <xf numFmtId="0" fontId="75" fillId="0" borderId="0" xfId="0" applyFont="1" applyAlignment="1" applyProtection="1">
      <alignment horizontal="left" vertical="center" wrapText="1"/>
      <protection locked="0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9" fillId="0" borderId="53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0" fillId="0" borderId="37" xfId="0" applyBorder="1" applyAlignment="1">
      <alignment horizontal="left"/>
    </xf>
    <xf numFmtId="0" fontId="0" fillId="0" borderId="20" xfId="0" applyBorder="1" applyAlignment="1">
      <alignment horizontal="left"/>
    </xf>
    <xf numFmtId="0" fontId="81" fillId="0" borderId="29" xfId="0" applyFont="1" applyBorder="1" applyAlignment="1">
      <alignment horizontal="left" vertical="top" wrapText="1"/>
    </xf>
    <xf numFmtId="0" fontId="81" fillId="0" borderId="30" xfId="0" applyFont="1" applyBorder="1" applyAlignment="1">
      <alignment horizontal="left" vertical="top" wrapText="1"/>
    </xf>
    <xf numFmtId="0" fontId="81" fillId="0" borderId="53" xfId="0" applyFont="1" applyBorder="1" applyAlignment="1">
      <alignment horizontal="left" vertical="top" wrapText="1"/>
    </xf>
    <xf numFmtId="0" fontId="81" fillId="0" borderId="54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1" xfId="0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  <xf numFmtId="0" fontId="76" fillId="0" borderId="19" xfId="0" applyFont="1" applyBorder="1" applyAlignment="1">
      <alignment horizontal="left" vertical="top" wrapText="1"/>
    </xf>
    <xf numFmtId="0" fontId="76" fillId="0" borderId="14" xfId="0" applyFont="1" applyBorder="1" applyAlignment="1">
      <alignment horizontal="left" vertical="top" wrapText="1"/>
    </xf>
    <xf numFmtId="0" fontId="108" fillId="0" borderId="29" xfId="0" applyFont="1" applyBorder="1" applyAlignment="1">
      <alignment horizontal="left" vertical="top" wrapText="1"/>
    </xf>
    <xf numFmtId="0" fontId="108" fillId="0" borderId="30" xfId="0" applyFont="1" applyBorder="1" applyAlignment="1">
      <alignment horizontal="left" vertical="top" wrapText="1"/>
    </xf>
    <xf numFmtId="0" fontId="0" fillId="0" borderId="19" xfId="0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9" fillId="0" borderId="37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76" fillId="0" borderId="37" xfId="0" applyFont="1" applyBorder="1" applyAlignment="1">
      <alignment horizontal="left" vertical="top" wrapText="1"/>
    </xf>
    <xf numFmtId="0" fontId="76" fillId="0" borderId="20" xfId="0" applyFont="1" applyBorder="1" applyAlignment="1">
      <alignment horizontal="left" vertical="top" wrapText="1"/>
    </xf>
    <xf numFmtId="0" fontId="0" fillId="0" borderId="19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37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51" xfId="0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0" fontId="76" fillId="0" borderId="37" xfId="0" applyFont="1" applyFill="1" applyBorder="1" applyAlignment="1" applyProtection="1">
      <alignment horizontal="left" vertical="top" wrapText="1"/>
      <protection/>
    </xf>
    <xf numFmtId="0" fontId="76" fillId="0" borderId="20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9" fillId="0" borderId="19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19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55" xfId="0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76" fillId="0" borderId="57" xfId="0" applyFont="1" applyBorder="1" applyAlignment="1">
      <alignment horizontal="left" vertical="top" wrapText="1"/>
    </xf>
    <xf numFmtId="0" fontId="76" fillId="0" borderId="58" xfId="0" applyFont="1" applyBorder="1" applyAlignment="1">
      <alignment horizontal="left" vertical="top" wrapText="1"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9" fillId="0" borderId="44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0" fillId="0" borderId="17" xfId="0" applyFill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109" fillId="0" borderId="0" xfId="0" applyFont="1" applyBorder="1" applyAlignment="1" applyProtection="1">
      <alignment horizontal="center"/>
      <protection/>
    </xf>
    <xf numFmtId="0" fontId="85" fillId="34" borderId="27" xfId="0" applyFont="1" applyFill="1" applyBorder="1" applyAlignment="1" applyProtection="1">
      <alignment horizontal="center" vertical="center" wrapText="1"/>
      <protection/>
    </xf>
    <xf numFmtId="0" fontId="81" fillId="0" borderId="29" xfId="0" applyFont="1" applyBorder="1" applyAlignment="1">
      <alignment horizontal="left" vertical="center" wrapText="1"/>
    </xf>
    <xf numFmtId="0" fontId="81" fillId="0" borderId="30" xfId="0" applyFont="1" applyBorder="1" applyAlignment="1">
      <alignment horizontal="left" vertical="center" wrapText="1"/>
    </xf>
    <xf numFmtId="0" fontId="0" fillId="0" borderId="57" xfId="0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9" fillId="0" borderId="57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55" xfId="0" applyBorder="1" applyAlignment="1" applyProtection="1">
      <alignment horizontal="left"/>
      <protection/>
    </xf>
    <xf numFmtId="0" fontId="0" fillId="0" borderId="5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9" fillId="0" borderId="44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37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76" fillId="0" borderId="57" xfId="0" applyFont="1" applyBorder="1" applyAlignment="1" applyProtection="1">
      <alignment horizontal="left" vertical="top" wrapText="1"/>
      <protection/>
    </xf>
    <xf numFmtId="0" fontId="76" fillId="0" borderId="58" xfId="0" applyFont="1" applyBorder="1" applyAlignment="1" applyProtection="1">
      <alignment horizontal="left" vertical="top" wrapText="1"/>
      <protection/>
    </xf>
    <xf numFmtId="0" fontId="76" fillId="0" borderId="51" xfId="0" applyFont="1" applyFill="1" applyBorder="1" applyAlignment="1" applyProtection="1">
      <alignment horizontal="left"/>
      <protection/>
    </xf>
    <xf numFmtId="0" fontId="76" fillId="0" borderId="52" xfId="0" applyFont="1" applyFill="1" applyBorder="1" applyAlignment="1" applyProtection="1">
      <alignment horizontal="left"/>
      <protection/>
    </xf>
    <xf numFmtId="0" fontId="76" fillId="0" borderId="37" xfId="0" applyFont="1" applyBorder="1" applyAlignment="1" applyProtection="1">
      <alignment horizontal="left"/>
      <protection/>
    </xf>
    <xf numFmtId="0" fontId="76" fillId="0" borderId="20" xfId="0" applyFont="1" applyBorder="1" applyAlignment="1" applyProtection="1">
      <alignment horizontal="left"/>
      <protection/>
    </xf>
    <xf numFmtId="0" fontId="0" fillId="0" borderId="3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76" fillId="0" borderId="17" xfId="0" applyFont="1" applyFill="1" applyBorder="1" applyAlignment="1" applyProtection="1">
      <alignment horizontal="left"/>
      <protection/>
    </xf>
    <xf numFmtId="0" fontId="76" fillId="0" borderId="18" xfId="0" applyFont="1" applyFill="1" applyBorder="1" applyAlignment="1" applyProtection="1">
      <alignment horizontal="left"/>
      <protection/>
    </xf>
    <xf numFmtId="0" fontId="81" fillId="0" borderId="57" xfId="0" applyFont="1" applyBorder="1" applyAlignment="1">
      <alignment horizontal="left" vertical="top" wrapText="1"/>
    </xf>
    <xf numFmtId="0" fontId="81" fillId="0" borderId="58" xfId="0" applyFont="1" applyBorder="1" applyAlignment="1">
      <alignment horizontal="left" vertical="top" wrapText="1"/>
    </xf>
    <xf numFmtId="0" fontId="0" fillId="0" borderId="37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left"/>
      <protection/>
    </xf>
    <xf numFmtId="0" fontId="75" fillId="0" borderId="21" xfId="0" applyFont="1" applyBorder="1" applyAlignment="1" applyProtection="1">
      <alignment horizontal="center" vertical="center" wrapText="1"/>
      <protection locked="0"/>
    </xf>
    <xf numFmtId="0" fontId="75" fillId="0" borderId="13" xfId="0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vertical="top" wrapText="1"/>
    </xf>
    <xf numFmtId="0" fontId="75" fillId="0" borderId="21" xfId="0" applyFont="1" applyBorder="1" applyAlignment="1" applyProtection="1">
      <alignment vertical="center" wrapText="1"/>
      <protection locked="0"/>
    </xf>
    <xf numFmtId="0" fontId="75" fillId="0" borderId="13" xfId="0" applyFont="1" applyBorder="1" applyAlignment="1" applyProtection="1">
      <alignment vertical="center" wrapText="1"/>
      <protection locked="0"/>
    </xf>
    <xf numFmtId="0" fontId="75" fillId="0" borderId="21" xfId="0" applyFont="1" applyBorder="1" applyAlignment="1" applyProtection="1">
      <alignment horizontal="center" vertical="center" wrapText="1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76" fillId="0" borderId="51" xfId="0" applyFont="1" applyBorder="1" applyAlignment="1" applyProtection="1">
      <alignment horizontal="left"/>
      <protection/>
    </xf>
    <xf numFmtId="0" fontId="76" fillId="0" borderId="52" xfId="0" applyFont="1" applyBorder="1" applyAlignment="1" applyProtection="1">
      <alignment horizontal="left"/>
      <protection/>
    </xf>
    <xf numFmtId="0" fontId="76" fillId="0" borderId="51" xfId="0" applyFont="1" applyBorder="1" applyAlignment="1" applyProtection="1">
      <alignment horizontal="left" vertical="center"/>
      <protection/>
    </xf>
    <xf numFmtId="0" fontId="76" fillId="0" borderId="52" xfId="0" applyFont="1" applyBorder="1" applyAlignment="1" applyProtection="1">
      <alignment horizontal="left" vertical="center"/>
      <protection/>
    </xf>
    <xf numFmtId="0" fontId="76" fillId="0" borderId="17" xfId="0" applyFont="1" applyBorder="1" applyAlignment="1" applyProtection="1">
      <alignment horizontal="left"/>
      <protection/>
    </xf>
    <xf numFmtId="0" fontId="76" fillId="0" borderId="18" xfId="0" applyFont="1" applyBorder="1" applyAlignment="1" applyProtection="1">
      <alignment horizontal="left"/>
      <protection/>
    </xf>
    <xf numFmtId="0" fontId="76" fillId="0" borderId="14" xfId="0" applyFont="1" applyFill="1" applyBorder="1" applyAlignment="1" applyProtection="1">
      <alignment horizontal="left"/>
      <protection/>
    </xf>
    <xf numFmtId="0" fontId="76" fillId="0" borderId="19" xfId="0" applyFont="1" applyFill="1" applyBorder="1" applyAlignment="1" applyProtection="1">
      <alignment horizontal="left"/>
      <protection/>
    </xf>
    <xf numFmtId="0" fontId="90" fillId="34" borderId="61" xfId="0" applyFont="1" applyFill="1" applyBorder="1" applyAlignment="1" applyProtection="1">
      <alignment horizontal="center" vertical="center" wrapText="1"/>
      <protection/>
    </xf>
    <xf numFmtId="0" fontId="76" fillId="0" borderId="37" xfId="0" applyFont="1" applyBorder="1" applyAlignment="1" applyProtection="1">
      <alignment horizontal="left" vertical="top"/>
      <protection/>
    </xf>
    <xf numFmtId="0" fontId="76" fillId="0" borderId="20" xfId="0" applyFont="1" applyBorder="1" applyAlignment="1" applyProtection="1">
      <alignment horizontal="left" vertical="top"/>
      <protection/>
    </xf>
    <xf numFmtId="0" fontId="76" fillId="0" borderId="37" xfId="0" applyFont="1" applyFill="1" applyBorder="1" applyAlignment="1" applyProtection="1">
      <alignment horizontal="left"/>
      <protection/>
    </xf>
    <xf numFmtId="0" fontId="76" fillId="0" borderId="20" xfId="0" applyFont="1" applyFill="1" applyBorder="1" applyAlignment="1" applyProtection="1">
      <alignment horizontal="left"/>
      <protection/>
    </xf>
    <xf numFmtId="0" fontId="75" fillId="0" borderId="6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75" fillId="0" borderId="54" xfId="0" applyFont="1" applyBorder="1" applyAlignment="1">
      <alignment horizontal="justify"/>
    </xf>
    <xf numFmtId="0" fontId="0" fillId="0" borderId="54" xfId="0" applyBorder="1" applyAlignment="1">
      <alignment/>
    </xf>
    <xf numFmtId="0" fontId="7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75" fillId="0" borderId="0" xfId="0" applyFont="1" applyAlignment="1">
      <alignment horizontal="left" vertical="top" wrapText="1"/>
    </xf>
    <xf numFmtId="0" fontId="75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75" fillId="0" borderId="54" xfId="0" applyFont="1" applyBorder="1" applyAlignment="1" applyProtection="1">
      <alignment horizontal="justify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7" fillId="0" borderId="21" xfId="0" applyFont="1" applyBorder="1" applyAlignment="1" applyProtection="1">
      <alignment horizontal="center" vertical="center" wrapText="1"/>
      <protection locked="0"/>
    </xf>
    <xf numFmtId="0" fontId="77" fillId="0" borderId="24" xfId="0" applyFont="1" applyBorder="1" applyAlignment="1" applyProtection="1">
      <alignment horizontal="center" vertical="center" wrapText="1"/>
      <protection locked="0"/>
    </xf>
    <xf numFmtId="0" fontId="77" fillId="0" borderId="13" xfId="0" applyFont="1" applyBorder="1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wrapText="1"/>
    </xf>
    <xf numFmtId="0" fontId="77" fillId="0" borderId="44" xfId="0" applyFont="1" applyBorder="1" applyAlignment="1" applyProtection="1">
      <alignment horizontal="center" vertical="center" wrapText="1"/>
      <protection locked="0"/>
    </xf>
    <xf numFmtId="0" fontId="77" fillId="0" borderId="49" xfId="0" applyFont="1" applyBorder="1" applyAlignment="1" applyProtection="1">
      <alignment horizontal="center" vertical="center" wrapText="1"/>
      <protection locked="0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wrapText="1"/>
      <protection/>
    </xf>
    <xf numFmtId="0" fontId="82" fillId="0" borderId="63" xfId="0" applyFont="1" applyBorder="1" applyAlignment="1">
      <alignment horizontal="justify" vertical="top" wrapText="1"/>
    </xf>
    <xf numFmtId="0" fontId="86" fillId="0" borderId="0" xfId="0" applyFont="1" applyAlignment="1">
      <alignment horizontal="left"/>
    </xf>
    <xf numFmtId="0" fontId="75" fillId="0" borderId="0" xfId="0" applyFont="1" applyAlignment="1">
      <alignment horizontal="justify"/>
    </xf>
    <xf numFmtId="0" fontId="83" fillId="0" borderId="0" xfId="0" applyFont="1" applyAlignment="1">
      <alignment horizontal="left"/>
    </xf>
    <xf numFmtId="0" fontId="75" fillId="0" borderId="0" xfId="0" applyFont="1" applyAlignment="1">
      <alignment horizontal="left" wrapText="1"/>
    </xf>
    <xf numFmtId="0" fontId="82" fillId="0" borderId="0" xfId="0" applyFont="1" applyAlignment="1">
      <alignment horizontal="justify"/>
    </xf>
    <xf numFmtId="0" fontId="86" fillId="0" borderId="0" xfId="0" applyFont="1" applyAlignment="1">
      <alignment horizontal="justify"/>
    </xf>
    <xf numFmtId="0" fontId="0" fillId="0" borderId="14" xfId="0" applyBorder="1" applyAlignment="1">
      <alignment horizontal="center"/>
    </xf>
    <xf numFmtId="0" fontId="7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left"/>
    </xf>
    <xf numFmtId="0" fontId="0" fillId="0" borderId="64" xfId="0" applyBorder="1" applyAlignment="1">
      <alignment horizontal="left"/>
    </xf>
    <xf numFmtId="0" fontId="110" fillId="0" borderId="45" xfId="0" applyFont="1" applyBorder="1" applyAlignment="1">
      <alignment horizontal="left"/>
    </xf>
    <xf numFmtId="0" fontId="110" fillId="0" borderId="64" xfId="0" applyFont="1" applyBorder="1" applyAlignment="1">
      <alignment horizontal="left"/>
    </xf>
    <xf numFmtId="0" fontId="110" fillId="0" borderId="20" xfId="0" applyFont="1" applyBorder="1" applyAlignment="1">
      <alignment horizontal="left"/>
    </xf>
    <xf numFmtId="0" fontId="72" fillId="0" borderId="45" xfId="0" applyFont="1" applyBorder="1" applyAlignment="1">
      <alignment horizontal="center"/>
    </xf>
    <xf numFmtId="0" fontId="72" fillId="0" borderId="64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15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110" fillId="0" borderId="40" xfId="0" applyFont="1" applyBorder="1" applyAlignment="1">
      <alignment horizontal="center" vertical="center" wrapText="1"/>
    </xf>
    <xf numFmtId="0" fontId="110" fillId="0" borderId="38" xfId="0" applyFont="1" applyBorder="1" applyAlignment="1">
      <alignment horizontal="center" vertical="center" wrapText="1"/>
    </xf>
    <xf numFmtId="0" fontId="110" fillId="0" borderId="39" xfId="0" applyFont="1" applyBorder="1" applyAlignment="1">
      <alignment horizontal="center" vertical="center" wrapText="1"/>
    </xf>
    <xf numFmtId="0" fontId="110" fillId="0" borderId="65" xfId="0" applyFont="1" applyBorder="1" applyAlignment="1">
      <alignment horizontal="center" vertical="center" wrapText="1"/>
    </xf>
    <xf numFmtId="0" fontId="110" fillId="0" borderId="66" xfId="0" applyFont="1" applyBorder="1" applyAlignment="1">
      <alignment horizontal="center" vertical="center" wrapText="1"/>
    </xf>
    <xf numFmtId="0" fontId="110" fillId="0" borderId="5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zoomScale="110" zoomScaleNormal="110" zoomScalePageLayoutView="0" workbookViewId="0" topLeftCell="A160">
      <selection activeCell="F115" sqref="F115"/>
    </sheetView>
  </sheetViews>
  <sheetFormatPr defaultColWidth="9.140625" defaultRowHeight="15"/>
  <cols>
    <col min="1" max="1" width="5.00390625" style="5" customWidth="1"/>
    <col min="2" max="2" width="10.8515625" style="5" customWidth="1"/>
    <col min="3" max="3" width="22.421875" style="20" customWidth="1"/>
    <col min="4" max="4" width="31.7109375" style="0" customWidth="1"/>
    <col min="5" max="6" width="9.140625" style="10" customWidth="1"/>
    <col min="8" max="8" width="13.57421875" style="0" customWidth="1"/>
  </cols>
  <sheetData>
    <row r="1" spans="1:8" ht="21">
      <c r="A1" s="93" t="s">
        <v>309</v>
      </c>
      <c r="B1" s="94"/>
      <c r="C1" s="95"/>
      <c r="D1" s="96"/>
      <c r="E1" s="97"/>
      <c r="F1" s="97"/>
      <c r="G1" s="98"/>
      <c r="H1" s="98"/>
    </row>
    <row r="2" spans="1:8" ht="21">
      <c r="A2" s="99"/>
      <c r="B2" s="94"/>
      <c r="C2" s="95"/>
      <c r="D2" s="96"/>
      <c r="E2" s="97"/>
      <c r="F2" s="97"/>
      <c r="G2" s="98"/>
      <c r="H2" s="98"/>
    </row>
    <row r="3" spans="1:8" ht="15.75">
      <c r="A3" s="100" t="s">
        <v>65</v>
      </c>
      <c r="B3" s="101"/>
      <c r="C3" s="198"/>
      <c r="D3" s="98"/>
      <c r="E3" s="102"/>
      <c r="F3" s="102"/>
      <c r="G3" s="98"/>
      <c r="H3" s="98"/>
    </row>
    <row r="4" spans="1:8" ht="15.75">
      <c r="A4" s="103"/>
      <c r="B4" s="101"/>
      <c r="C4" s="198"/>
      <c r="D4" s="98"/>
      <c r="E4" s="102"/>
      <c r="F4" s="102"/>
      <c r="G4" s="98"/>
      <c r="H4" s="98"/>
    </row>
    <row r="5" spans="1:8" ht="20.25" customHeight="1">
      <c r="A5" s="440" t="s">
        <v>66</v>
      </c>
      <c r="B5" s="440"/>
      <c r="C5" s="440"/>
      <c r="D5" s="104" t="s">
        <v>558</v>
      </c>
      <c r="E5" s="105"/>
      <c r="F5" s="105"/>
      <c r="G5" s="98"/>
      <c r="H5" s="98"/>
    </row>
    <row r="6" spans="1:8" ht="21" customHeight="1">
      <c r="A6" s="440" t="s">
        <v>67</v>
      </c>
      <c r="B6" s="440"/>
      <c r="C6" s="440"/>
      <c r="D6" s="104" t="s">
        <v>558</v>
      </c>
      <c r="E6" s="106"/>
      <c r="F6" s="106"/>
      <c r="G6" s="98"/>
      <c r="H6" s="98"/>
    </row>
    <row r="7" spans="1:8" ht="20.25" customHeight="1">
      <c r="A7" s="440" t="s">
        <v>68</v>
      </c>
      <c r="B7" s="440"/>
      <c r="C7" s="440"/>
      <c r="D7" s="104" t="s">
        <v>558</v>
      </c>
      <c r="E7" s="106"/>
      <c r="F7" s="106"/>
      <c r="G7" s="98"/>
      <c r="H7" s="98"/>
    </row>
    <row r="8" spans="1:8" ht="21" customHeight="1">
      <c r="A8" s="440" t="s">
        <v>69</v>
      </c>
      <c r="B8" s="440"/>
      <c r="C8" s="440"/>
      <c r="D8" s="104" t="s">
        <v>558</v>
      </c>
      <c r="E8" s="106"/>
      <c r="F8" s="106"/>
      <c r="G8" s="98"/>
      <c r="H8" s="98"/>
    </row>
    <row r="9" spans="1:8" ht="18.75" customHeight="1">
      <c r="A9" s="440" t="s">
        <v>0</v>
      </c>
      <c r="B9" s="440"/>
      <c r="C9" s="440"/>
      <c r="D9" s="104" t="s">
        <v>558</v>
      </c>
      <c r="E9" s="106"/>
      <c r="F9" s="106"/>
      <c r="G9" s="98"/>
      <c r="H9" s="98"/>
    </row>
    <row r="10" spans="1:8" ht="15.75">
      <c r="A10" s="103"/>
      <c r="B10" s="101"/>
      <c r="C10" s="198"/>
      <c r="D10" s="98"/>
      <c r="E10" s="102"/>
      <c r="F10" s="102"/>
      <c r="G10" s="98"/>
      <c r="H10" s="98"/>
    </row>
    <row r="11" spans="1:8" ht="6" customHeight="1" thickBot="1">
      <c r="A11" s="101"/>
      <c r="B11" s="101"/>
      <c r="C11" s="198"/>
      <c r="D11" s="98"/>
      <c r="E11" s="102"/>
      <c r="F11" s="102"/>
      <c r="G11" s="98"/>
      <c r="H11" s="98"/>
    </row>
    <row r="12" spans="1:8" ht="48.75" customHeight="1" thickBot="1">
      <c r="A12" s="107" t="s">
        <v>1</v>
      </c>
      <c r="B12" s="108" t="s">
        <v>2</v>
      </c>
      <c r="C12" s="108" t="s">
        <v>3</v>
      </c>
      <c r="D12" s="108" t="s">
        <v>4</v>
      </c>
      <c r="E12" s="118" t="s">
        <v>5</v>
      </c>
      <c r="F12" s="108" t="s">
        <v>6</v>
      </c>
      <c r="G12" s="98"/>
      <c r="H12" s="119" t="s">
        <v>164</v>
      </c>
    </row>
    <row r="13" spans="1:8" ht="51.75" thickBot="1">
      <c r="A13" s="384">
        <v>1</v>
      </c>
      <c r="B13" s="385" t="s">
        <v>97</v>
      </c>
      <c r="C13" s="386" t="s">
        <v>340</v>
      </c>
      <c r="D13" s="185" t="str">
        <f>'hitung F1'!G4</f>
        <v>Kejelasan ...</v>
      </c>
      <c r="E13" s="186">
        <v>0.75</v>
      </c>
      <c r="F13" s="110">
        <f>'hitung F1'!E5</f>
        <v>1</v>
      </c>
      <c r="G13" s="98"/>
      <c r="H13" s="120">
        <f>E13*F13</f>
        <v>0.75</v>
      </c>
    </row>
    <row r="14" spans="1:8" ht="60" customHeight="1" thickBot="1">
      <c r="A14" s="387">
        <v>2</v>
      </c>
      <c r="B14" s="385" t="s">
        <v>98</v>
      </c>
      <c r="C14" s="388" t="s">
        <v>341</v>
      </c>
      <c r="D14" s="185" t="str">
        <f>'hitung F1'!G7</f>
        <v>Strategi ...</v>
      </c>
      <c r="E14" s="187">
        <v>1.5</v>
      </c>
      <c r="F14" s="111">
        <f>'hitung F1'!E8</f>
        <v>1</v>
      </c>
      <c r="G14" s="98"/>
      <c r="H14" s="120">
        <f aca="true" t="shared" si="0" ref="H14:H76">E14*F14</f>
        <v>1.5</v>
      </c>
    </row>
    <row r="15" spans="1:8" ht="99" customHeight="1" thickBot="1">
      <c r="A15" s="387">
        <v>3</v>
      </c>
      <c r="B15" s="389" t="s">
        <v>311</v>
      </c>
      <c r="C15" s="386" t="s">
        <v>342</v>
      </c>
      <c r="D15" s="185" t="str">
        <f>'hitung F1'!G10</f>
        <v>Pemahaman ...</v>
      </c>
      <c r="E15" s="187">
        <v>0.75</v>
      </c>
      <c r="F15" s="111">
        <f>'hitung F1'!E11</f>
        <v>1</v>
      </c>
      <c r="G15" s="98"/>
      <c r="H15" s="120">
        <f t="shared" si="0"/>
        <v>0.75</v>
      </c>
    </row>
    <row r="16" spans="1:8" ht="117" customHeight="1" thickBot="1">
      <c r="A16" s="387">
        <v>4</v>
      </c>
      <c r="B16" s="389" t="s">
        <v>312</v>
      </c>
      <c r="C16" s="386" t="s">
        <v>343</v>
      </c>
      <c r="D16" s="185" t="str">
        <f>'hitung F1'!G13</f>
        <v>Jaminan...</v>
      </c>
      <c r="E16" s="187">
        <v>1.0909090909090908</v>
      </c>
      <c r="F16" s="111">
        <f>'hitung F1'!E14</f>
        <v>0</v>
      </c>
      <c r="G16" s="98"/>
      <c r="H16" s="120">
        <f t="shared" si="0"/>
        <v>0</v>
      </c>
    </row>
    <row r="17" spans="1:8" ht="82.5" customHeight="1" thickBot="1">
      <c r="A17" s="387">
        <v>5</v>
      </c>
      <c r="B17" s="389" t="s">
        <v>313</v>
      </c>
      <c r="C17" s="386" t="s">
        <v>344</v>
      </c>
      <c r="D17" s="185" t="str">
        <f>'hitung F1'!G16</f>
        <v>Karakteristik ...</v>
      </c>
      <c r="E17" s="187">
        <v>0.5454545454545454</v>
      </c>
      <c r="F17" s="111">
        <f>'hitung F1'!E17</f>
        <v>1</v>
      </c>
      <c r="G17" s="98"/>
      <c r="H17" s="120">
        <f t="shared" si="0"/>
        <v>0.5454545454545454</v>
      </c>
    </row>
    <row r="18" spans="1:8" ht="111.75" customHeight="1" thickBot="1">
      <c r="A18" s="387">
        <v>6</v>
      </c>
      <c r="B18" s="389" t="s">
        <v>314</v>
      </c>
      <c r="C18" s="386" t="s">
        <v>345</v>
      </c>
      <c r="D18" s="185" t="str">
        <f>'hitung F1'!G19</f>
        <v>Efektivitas...</v>
      </c>
      <c r="E18" s="187">
        <v>1.0909090909090908</v>
      </c>
      <c r="F18" s="111">
        <f>'hitung F1'!E20</f>
        <v>1</v>
      </c>
      <c r="G18" s="98"/>
      <c r="H18" s="120">
        <f t="shared" si="0"/>
        <v>1.0909090909090908</v>
      </c>
    </row>
    <row r="19" spans="1:8" ht="32.25" customHeight="1" thickBot="1">
      <c r="A19" s="387">
        <v>7</v>
      </c>
      <c r="B19" s="389" t="s">
        <v>315</v>
      </c>
      <c r="C19" s="386" t="s">
        <v>346</v>
      </c>
      <c r="D19" s="185" t="str">
        <f>'hitung F1'!G22</f>
        <v>Pelaksanaan...</v>
      </c>
      <c r="E19" s="188">
        <v>1.3636363636363635</v>
      </c>
      <c r="F19" s="112">
        <f>'hitung F1'!E23</f>
        <v>0</v>
      </c>
      <c r="G19" s="98"/>
      <c r="H19" s="120">
        <f t="shared" si="0"/>
        <v>0</v>
      </c>
    </row>
    <row r="20" spans="1:8" ht="57" customHeight="1" thickBot="1">
      <c r="A20" s="387">
        <v>8</v>
      </c>
      <c r="B20" s="389" t="s">
        <v>316</v>
      </c>
      <c r="C20" s="386" t="s">
        <v>347</v>
      </c>
      <c r="D20" s="185" t="str">
        <f>'hitung F1'!G25</f>
        <v>Umpan balik...</v>
      </c>
      <c r="E20" s="186">
        <v>1.3636363636363635</v>
      </c>
      <c r="F20" s="110">
        <f>'hitung F1'!E26</f>
        <v>0</v>
      </c>
      <c r="G20" s="98"/>
      <c r="H20" s="120">
        <f t="shared" si="0"/>
        <v>0</v>
      </c>
    </row>
    <row r="21" spans="1:8" ht="84" customHeight="1" thickBot="1">
      <c r="A21" s="387">
        <v>9</v>
      </c>
      <c r="B21" s="389" t="s">
        <v>317</v>
      </c>
      <c r="C21" s="390" t="s">
        <v>348</v>
      </c>
      <c r="D21" s="185" t="str">
        <f>'hitung F1'!G28</f>
        <v>Upaya-upaya...</v>
      </c>
      <c r="E21" s="187">
        <v>0.5454545454545454</v>
      </c>
      <c r="F21" s="111">
        <f>'hitung F1'!E29</f>
        <v>0</v>
      </c>
      <c r="G21" s="98"/>
      <c r="H21" s="120">
        <f t="shared" si="0"/>
        <v>0</v>
      </c>
    </row>
    <row r="22" spans="1:8" ht="43.5" customHeight="1" thickBot="1">
      <c r="A22" s="387">
        <v>10</v>
      </c>
      <c r="B22" s="385" t="s">
        <v>349</v>
      </c>
      <c r="C22" s="390" t="s">
        <v>350</v>
      </c>
      <c r="D22" s="185" t="str">
        <f>'hitung F1'!G31</f>
        <v>Rasio...</v>
      </c>
      <c r="E22" s="187">
        <v>1.9636363636363636</v>
      </c>
      <c r="F22" s="164">
        <f>'hitung F1'!E35</f>
        <v>2</v>
      </c>
      <c r="G22" s="98"/>
      <c r="H22" s="120">
        <f t="shared" si="0"/>
        <v>3.9272727272727272</v>
      </c>
    </row>
    <row r="23" spans="1:8" ht="64.5" thickBot="1">
      <c r="A23" s="387">
        <v>11</v>
      </c>
      <c r="B23" s="385" t="s">
        <v>351</v>
      </c>
      <c r="C23" s="390" t="s">
        <v>352</v>
      </c>
      <c r="D23" s="185" t="str">
        <f>'hitung F1'!G37</f>
        <v>Rasio ...</v>
      </c>
      <c r="E23" s="187">
        <v>0.6545454545454545</v>
      </c>
      <c r="F23" s="164">
        <f>'hitung F1'!E41</f>
        <v>4</v>
      </c>
      <c r="G23" s="98"/>
      <c r="H23" s="120">
        <f t="shared" si="0"/>
        <v>2.618181818181818</v>
      </c>
    </row>
    <row r="24" spans="1:8" ht="39" thickBot="1">
      <c r="A24" s="387">
        <v>12</v>
      </c>
      <c r="B24" s="385" t="s">
        <v>353</v>
      </c>
      <c r="C24" s="390" t="s">
        <v>354</v>
      </c>
      <c r="D24" s="185" t="str">
        <f>'hitung F1'!G43</f>
        <v>Rasio ...</v>
      </c>
      <c r="E24" s="187">
        <v>0.6545454545454545</v>
      </c>
      <c r="F24" s="164">
        <f>'hitung F1'!E47</f>
        <v>1.49890590809628</v>
      </c>
      <c r="G24" s="98"/>
      <c r="H24" s="120">
        <f t="shared" si="0"/>
        <v>0.9811020489357469</v>
      </c>
    </row>
    <row r="25" spans="1:8" ht="45" customHeight="1" thickBot="1">
      <c r="A25" s="387">
        <v>13</v>
      </c>
      <c r="B25" s="385" t="s">
        <v>355</v>
      </c>
      <c r="C25" s="390" t="s">
        <v>8</v>
      </c>
      <c r="D25" s="185" t="str">
        <f>'hitung F1'!G49</f>
        <v>Rata-rata...</v>
      </c>
      <c r="E25" s="187">
        <v>0.6545454545454545</v>
      </c>
      <c r="F25" s="164">
        <f>'hitung F1'!E51</f>
        <v>4</v>
      </c>
      <c r="G25" s="98"/>
      <c r="H25" s="120">
        <f t="shared" si="0"/>
        <v>2.618181818181818</v>
      </c>
    </row>
    <row r="26" spans="1:8" ht="51.75" thickBot="1">
      <c r="A26" s="387">
        <v>14</v>
      </c>
      <c r="B26" s="385" t="s">
        <v>9</v>
      </c>
      <c r="C26" s="390" t="s">
        <v>11</v>
      </c>
      <c r="D26" s="185" t="str">
        <f>'hitung F1'!G53</f>
        <v>Penghargaan</v>
      </c>
      <c r="E26" s="187">
        <v>0.6545454545454545</v>
      </c>
      <c r="F26" s="164">
        <f>'hitung F1'!E54</f>
        <v>3</v>
      </c>
      <c r="G26" s="98"/>
      <c r="H26" s="120">
        <f t="shared" si="0"/>
        <v>1.9636363636363636</v>
      </c>
    </row>
    <row r="27" spans="1:8" ht="30.75" customHeight="1" thickBot="1">
      <c r="A27" s="387">
        <v>15</v>
      </c>
      <c r="B27" s="385" t="s">
        <v>356</v>
      </c>
      <c r="C27" s="390" t="s">
        <v>357</v>
      </c>
      <c r="D27" s="185" t="str">
        <f>'hitung F1'!G56</f>
        <v>Persentase ...</v>
      </c>
      <c r="E27" s="188">
        <v>0.6545454545454545</v>
      </c>
      <c r="F27" s="165">
        <f>'hitung F1'!E65</f>
        <v>0</v>
      </c>
      <c r="G27" s="98"/>
      <c r="H27" s="120">
        <f t="shared" si="0"/>
        <v>0</v>
      </c>
    </row>
    <row r="28" spans="1:8" ht="44.25" customHeight="1" thickBot="1">
      <c r="A28" s="387">
        <v>16</v>
      </c>
      <c r="B28" s="385" t="s">
        <v>358</v>
      </c>
      <c r="C28" s="390" t="s">
        <v>359</v>
      </c>
      <c r="D28" s="185" t="str">
        <f>'hitung F1'!G67</f>
        <v>Persentase...</v>
      </c>
      <c r="E28" s="186">
        <v>0.32727272727272727</v>
      </c>
      <c r="F28" s="158">
        <f>'hitung F1'!E72</f>
        <v>3.8974358974358974</v>
      </c>
      <c r="G28" s="98"/>
      <c r="H28" s="120">
        <f t="shared" si="0"/>
        <v>1.2755244755244755</v>
      </c>
    </row>
    <row r="29" spans="1:8" ht="119.25" customHeight="1" thickBot="1">
      <c r="A29" s="387">
        <v>17</v>
      </c>
      <c r="B29" s="385" t="s">
        <v>12</v>
      </c>
      <c r="C29" s="390" t="s">
        <v>360</v>
      </c>
      <c r="D29" s="185" t="str">
        <f>'hitung F1'!G74</f>
        <v>Jenis layanan...</v>
      </c>
      <c r="E29" s="187">
        <v>0.6545454545454545</v>
      </c>
      <c r="F29" s="164">
        <f>'hitung F1'!E75</f>
        <v>3</v>
      </c>
      <c r="G29" s="98"/>
      <c r="H29" s="120">
        <f t="shared" si="0"/>
        <v>1.9636363636363636</v>
      </c>
    </row>
    <row r="30" spans="1:8" ht="107.25" customHeight="1" thickBot="1">
      <c r="A30" s="387">
        <v>18</v>
      </c>
      <c r="B30" s="385" t="s">
        <v>13</v>
      </c>
      <c r="C30" s="390" t="s">
        <v>361</v>
      </c>
      <c r="D30" s="185" t="str">
        <f>'hitung F1'!G77</f>
        <v>Mutu layanan...</v>
      </c>
      <c r="E30" s="186">
        <v>1.309090909090909</v>
      </c>
      <c r="F30" s="158">
        <f>'hitung F1'!E80</f>
        <v>3.6</v>
      </c>
      <c r="G30" s="98"/>
      <c r="H30" s="120">
        <f t="shared" si="0"/>
        <v>4.712727272727273</v>
      </c>
    </row>
    <row r="31" spans="1:8" ht="52.5" customHeight="1" thickBot="1">
      <c r="A31" s="387">
        <v>19</v>
      </c>
      <c r="B31" s="385" t="s">
        <v>468</v>
      </c>
      <c r="C31" s="390" t="s">
        <v>362</v>
      </c>
      <c r="D31" s="185" t="str">
        <f>'hitung F1'!G82</f>
        <v>Usaha...</v>
      </c>
      <c r="E31" s="186">
        <v>1.309090909090909</v>
      </c>
      <c r="F31" s="158">
        <f>'hitung F1'!E83</f>
        <v>3</v>
      </c>
      <c r="G31" s="98"/>
      <c r="H31" s="120">
        <f t="shared" si="0"/>
        <v>3.9272727272727272</v>
      </c>
    </row>
    <row r="32" spans="1:8" ht="28.5" customHeight="1" thickBot="1">
      <c r="A32" s="387">
        <v>20</v>
      </c>
      <c r="B32" s="385" t="s">
        <v>363</v>
      </c>
      <c r="C32" s="390" t="s">
        <v>14</v>
      </c>
      <c r="D32" s="185" t="str">
        <f>'hitung F1'!G85</f>
        <v>Upaya ...</v>
      </c>
      <c r="E32" s="187">
        <v>0.6545454545454545</v>
      </c>
      <c r="F32" s="164">
        <f>'hitung F1'!E86</f>
        <v>2</v>
      </c>
      <c r="G32" s="98"/>
      <c r="H32" s="120">
        <f t="shared" si="0"/>
        <v>1.309090909090909</v>
      </c>
    </row>
    <row r="33" spans="1:8" ht="95.25" customHeight="1" thickBot="1">
      <c r="A33" s="387">
        <v>21</v>
      </c>
      <c r="B33" s="385" t="s">
        <v>364</v>
      </c>
      <c r="C33" s="390" t="s">
        <v>365</v>
      </c>
      <c r="D33" s="185" t="str">
        <f>'hitung F1'!G88</f>
        <v>Penggunaan...</v>
      </c>
      <c r="E33" s="188">
        <v>1.309090909090909</v>
      </c>
      <c r="F33" s="165">
        <f>'hitung F1'!E89</f>
        <v>2</v>
      </c>
      <c r="G33" s="98"/>
      <c r="H33" s="120">
        <f t="shared" si="0"/>
        <v>2.618181818181818</v>
      </c>
    </row>
    <row r="34" spans="1:8" ht="48.75" customHeight="1" thickBot="1">
      <c r="A34" s="387">
        <v>22</v>
      </c>
      <c r="B34" s="385" t="s">
        <v>366</v>
      </c>
      <c r="C34" s="390" t="s">
        <v>367</v>
      </c>
      <c r="D34" s="185" t="str">
        <f>'hitung F1'!G91</f>
        <v>Pendapat...</v>
      </c>
      <c r="E34" s="188">
        <v>1.309090909090909</v>
      </c>
      <c r="F34" s="165">
        <f>'hitung F1'!E97</f>
        <v>1</v>
      </c>
      <c r="G34" s="98"/>
      <c r="H34" s="120">
        <f t="shared" si="0"/>
        <v>1.309090909090909</v>
      </c>
    </row>
    <row r="35" spans="1:8" ht="51.75" thickBot="1">
      <c r="A35" s="387">
        <v>23</v>
      </c>
      <c r="B35" s="385" t="s">
        <v>15</v>
      </c>
      <c r="C35" s="390" t="s">
        <v>368</v>
      </c>
      <c r="D35" s="185" t="str">
        <f>'hitung F1'!G99</f>
        <v>Keahlian...</v>
      </c>
      <c r="E35" s="189">
        <v>1.309090909090909</v>
      </c>
      <c r="F35" s="166">
        <f>'hitung F1'!E100</f>
        <v>2</v>
      </c>
      <c r="G35" s="98"/>
      <c r="H35" s="120">
        <f t="shared" si="0"/>
        <v>2.618181818181818</v>
      </c>
    </row>
    <row r="36" spans="1:8" ht="48" customHeight="1" thickBot="1">
      <c r="A36" s="387">
        <v>24</v>
      </c>
      <c r="B36" s="385" t="s">
        <v>369</v>
      </c>
      <c r="C36" s="390" t="s">
        <v>370</v>
      </c>
      <c r="D36" s="185" t="str">
        <f>'hitung F1'!G102</f>
        <v>Masa...</v>
      </c>
      <c r="E36" s="187">
        <v>1.309090909090909</v>
      </c>
      <c r="F36" s="164">
        <f>'hitung F1'!E103</f>
        <v>0</v>
      </c>
      <c r="G36" s="98"/>
      <c r="H36" s="120">
        <f t="shared" si="0"/>
        <v>0</v>
      </c>
    </row>
    <row r="37" spans="1:8" ht="39" thickBot="1">
      <c r="A37" s="387">
        <v>25</v>
      </c>
      <c r="B37" s="385" t="s">
        <v>371</v>
      </c>
      <c r="C37" s="390" t="s">
        <v>372</v>
      </c>
      <c r="D37" s="185" t="str">
        <f>'hitung F1'!G105</f>
        <v>Kesesuaian...</v>
      </c>
      <c r="E37" s="187">
        <v>1.309090909090909</v>
      </c>
      <c r="F37" s="164">
        <f>'hitung F1'!E106</f>
        <v>0</v>
      </c>
      <c r="G37" s="98"/>
      <c r="H37" s="120">
        <f t="shared" si="0"/>
        <v>0</v>
      </c>
    </row>
    <row r="38" spans="1:8" ht="55.5" customHeight="1" thickBot="1">
      <c r="A38" s="387">
        <v>26</v>
      </c>
      <c r="B38" s="385" t="s">
        <v>373</v>
      </c>
      <c r="C38" s="390" t="s">
        <v>659</v>
      </c>
      <c r="D38" s="185" t="str">
        <f>'hitung F1'!G108</f>
        <v>Jumlah ...</v>
      </c>
      <c r="E38" s="187">
        <v>1.309090909090909</v>
      </c>
      <c r="F38" s="164">
        <f>'hitung F1'!E109</f>
        <v>0</v>
      </c>
      <c r="G38" s="98"/>
      <c r="H38" s="120">
        <f t="shared" si="0"/>
        <v>0</v>
      </c>
    </row>
    <row r="39" spans="1:8" ht="56.25" customHeight="1" thickBot="1">
      <c r="A39" s="387">
        <v>27</v>
      </c>
      <c r="B39" s="389" t="s">
        <v>465</v>
      </c>
      <c r="C39" s="390" t="s">
        <v>374</v>
      </c>
      <c r="D39" s="185" t="str">
        <f>'hitung F1'!G111</f>
        <v>Partisipasi...</v>
      </c>
      <c r="E39" s="187">
        <v>0.6545454545454545</v>
      </c>
      <c r="F39" s="164">
        <f>'hitung F1'!E112</f>
        <v>3</v>
      </c>
      <c r="G39" s="98"/>
      <c r="H39" s="120">
        <f t="shared" si="0"/>
        <v>1.9636363636363636</v>
      </c>
    </row>
    <row r="40" spans="1:8" ht="110.25" customHeight="1" thickBot="1">
      <c r="A40" s="387">
        <v>28</v>
      </c>
      <c r="B40" s="389" t="s">
        <v>318</v>
      </c>
      <c r="C40" s="386" t="s">
        <v>375</v>
      </c>
      <c r="D40" s="185" t="str">
        <f>'hitung F1'!G114</f>
        <v>Pedoman...</v>
      </c>
      <c r="E40" s="187">
        <v>0.7419354838709677</v>
      </c>
      <c r="F40" s="164">
        <f>'hitung F1'!E115</f>
        <v>2</v>
      </c>
      <c r="G40" s="98"/>
      <c r="H40" s="120">
        <f t="shared" si="0"/>
        <v>1.4838709677419355</v>
      </c>
    </row>
    <row r="41" spans="1:8" ht="67.5" customHeight="1" thickBot="1">
      <c r="A41" s="387">
        <v>29</v>
      </c>
      <c r="B41" s="385" t="s">
        <v>16</v>
      </c>
      <c r="C41" s="386" t="s">
        <v>376</v>
      </c>
      <c r="D41" s="185" t="str">
        <f>'hitung F1'!G117</f>
        <v>Pedoman...</v>
      </c>
      <c r="E41" s="187">
        <v>0.7419354838709677</v>
      </c>
      <c r="F41" s="164">
        <f>'hitung F1'!E118</f>
        <v>3</v>
      </c>
      <c r="G41" s="98"/>
      <c r="H41" s="120">
        <f t="shared" si="0"/>
        <v>2.225806451612903</v>
      </c>
    </row>
    <row r="42" spans="1:8" ht="56.25" customHeight="1" thickBot="1">
      <c r="A42" s="387">
        <v>30</v>
      </c>
      <c r="B42" s="385" t="s">
        <v>17</v>
      </c>
      <c r="C42" s="386" t="s">
        <v>377</v>
      </c>
      <c r="D42" s="185" t="str">
        <f>'hitung F1'!G120</f>
        <v>Pelaksanaan...</v>
      </c>
      <c r="E42" s="187">
        <v>1.4838709677419355</v>
      </c>
      <c r="F42" s="164">
        <f>'hitung F1'!E121</f>
        <v>2</v>
      </c>
      <c r="G42" s="98"/>
      <c r="H42" s="120">
        <f t="shared" si="0"/>
        <v>2.967741935483871</v>
      </c>
    </row>
    <row r="43" spans="1:8" ht="69.75" customHeight="1" thickBot="1">
      <c r="A43" s="387">
        <v>31</v>
      </c>
      <c r="B43" s="385" t="s">
        <v>378</v>
      </c>
      <c r="C43" s="390" t="s">
        <v>18</v>
      </c>
      <c r="D43" s="185" t="str">
        <f>'hitung F1'!G123</f>
        <v>Dosen...</v>
      </c>
      <c r="E43" s="187">
        <v>1.4838709677419355</v>
      </c>
      <c r="F43" s="164">
        <f>'hitung F1'!E127</f>
        <v>2.7916666666666665</v>
      </c>
      <c r="G43" s="98"/>
      <c r="H43" s="120">
        <f t="shared" si="0"/>
        <v>4.14247311827957</v>
      </c>
    </row>
    <row r="44" spans="1:8" ht="55.5" customHeight="1" thickBot="1">
      <c r="A44" s="387">
        <v>32</v>
      </c>
      <c r="B44" s="385" t="s">
        <v>379</v>
      </c>
      <c r="C44" s="390" t="s">
        <v>380</v>
      </c>
      <c r="D44" s="185" t="str">
        <f>'hitung F1'!G129</f>
        <v>Dosen...</v>
      </c>
      <c r="E44" s="186">
        <v>0.7419354838709677</v>
      </c>
      <c r="F44" s="158">
        <f>'hitung F1'!E133</f>
        <v>0.3333333333333333</v>
      </c>
      <c r="G44" s="98"/>
      <c r="H44" s="120">
        <f t="shared" si="0"/>
        <v>0.24731182795698925</v>
      </c>
    </row>
    <row r="45" spans="1:8" ht="70.5" customHeight="1" thickBot="1">
      <c r="A45" s="387">
        <v>33</v>
      </c>
      <c r="B45" s="385" t="s">
        <v>381</v>
      </c>
      <c r="C45" s="390" t="s">
        <v>382</v>
      </c>
      <c r="D45" s="185" t="str">
        <f>'hitung F1'!G137</f>
        <v>Rasio...</v>
      </c>
      <c r="E45" s="187">
        <v>1.4838709677419355</v>
      </c>
      <c r="F45" s="164">
        <f>'hitung F1'!E145</f>
        <v>1.7647058823529411</v>
      </c>
      <c r="G45" s="98"/>
      <c r="H45" s="120">
        <f t="shared" si="0"/>
        <v>2.618595825426945</v>
      </c>
    </row>
    <row r="46" spans="1:8" ht="47.25" customHeight="1" thickBot="1">
      <c r="A46" s="387">
        <v>34</v>
      </c>
      <c r="B46" s="385" t="s">
        <v>383</v>
      </c>
      <c r="C46" s="390" t="s">
        <v>384</v>
      </c>
      <c r="D46" s="185" t="str">
        <f>'hitung F1'!G147</f>
        <v>Dosen...</v>
      </c>
      <c r="E46" s="186">
        <v>0.7419354838709677</v>
      </c>
      <c r="F46" s="158">
        <f>'hitung F1'!E151</f>
        <v>2.8125</v>
      </c>
      <c r="G46" s="98"/>
      <c r="H46" s="120">
        <f t="shared" si="0"/>
        <v>2.086693548387097</v>
      </c>
    </row>
    <row r="47" spans="1:8" ht="51.75" thickBot="1">
      <c r="A47" s="387">
        <v>35</v>
      </c>
      <c r="B47" s="385" t="s">
        <v>385</v>
      </c>
      <c r="C47" s="390" t="s">
        <v>501</v>
      </c>
      <c r="D47" s="185" t="str">
        <f>'hitung F1'!G153</f>
        <v>Dosen...</v>
      </c>
      <c r="E47" s="187">
        <v>0.7419354838709677</v>
      </c>
      <c r="F47" s="164">
        <f>'hitung F1'!E157</f>
        <v>4</v>
      </c>
      <c r="G47" s="113"/>
      <c r="H47" s="120">
        <f t="shared" si="0"/>
        <v>2.967741935483871</v>
      </c>
    </row>
    <row r="48" spans="1:8" ht="33" customHeight="1" thickBot="1">
      <c r="A48" s="387">
        <v>36</v>
      </c>
      <c r="B48" s="385" t="s">
        <v>19</v>
      </c>
      <c r="C48" s="390" t="s">
        <v>386</v>
      </c>
      <c r="D48" s="185" t="str">
        <f>'hitung F1'!G159</f>
        <v>Rata-rata ...</v>
      </c>
      <c r="E48" s="186">
        <v>0.7419354838709677</v>
      </c>
      <c r="F48" s="158">
        <f>'hitung F1'!E160</f>
        <v>4</v>
      </c>
      <c r="G48" s="98"/>
      <c r="H48" s="120">
        <f t="shared" si="0"/>
        <v>2.967741935483871</v>
      </c>
    </row>
    <row r="49" spans="1:8" ht="71.25" customHeight="1" thickBot="1">
      <c r="A49" s="387">
        <v>37</v>
      </c>
      <c r="B49" s="385" t="s">
        <v>20</v>
      </c>
      <c r="C49" s="390" t="s">
        <v>387</v>
      </c>
      <c r="D49" s="185" t="str">
        <f>'hitung F1'!G162</f>
        <v>Kesesuaian...</v>
      </c>
      <c r="E49" s="187">
        <v>1.4838709677419355</v>
      </c>
      <c r="F49" s="164">
        <f>'hitung F1'!E164</f>
        <v>2</v>
      </c>
      <c r="G49" s="98"/>
      <c r="H49" s="120">
        <f t="shared" si="0"/>
        <v>2.967741935483871</v>
      </c>
    </row>
    <row r="50" spans="1:8" ht="44.25" customHeight="1" thickBot="1">
      <c r="A50" s="387">
        <v>38</v>
      </c>
      <c r="B50" s="385" t="s">
        <v>20</v>
      </c>
      <c r="C50" s="390" t="s">
        <v>388</v>
      </c>
      <c r="D50" s="185" t="str">
        <f>'hitung F1'!G166</f>
        <v>Persentase...</v>
      </c>
      <c r="E50" s="187">
        <v>0.7419354838709677</v>
      </c>
      <c r="F50" s="164">
        <f>'hitung F1'!E170</f>
        <v>2</v>
      </c>
      <c r="G50" s="98"/>
      <c r="H50" s="120">
        <f t="shared" si="0"/>
        <v>1.4838709677419355</v>
      </c>
    </row>
    <row r="51" spans="1:8" ht="57" customHeight="1" thickBot="1">
      <c r="A51" s="387">
        <v>39</v>
      </c>
      <c r="B51" s="385" t="s">
        <v>21</v>
      </c>
      <c r="C51" s="390" t="s">
        <v>389</v>
      </c>
      <c r="D51" s="185" t="str">
        <f>'hitung F1'!G172</f>
        <v>Persentase...</v>
      </c>
      <c r="E51" s="187">
        <v>0.7419354838709677</v>
      </c>
      <c r="F51" s="164">
        <f>'hitung F1'!E176</f>
        <v>1.666666666666667</v>
      </c>
      <c r="G51" s="98"/>
      <c r="H51" s="120">
        <f t="shared" si="0"/>
        <v>1.2365591397849465</v>
      </c>
    </row>
    <row r="52" spans="1:8" ht="54.75" customHeight="1" thickBot="1">
      <c r="A52" s="387">
        <v>40</v>
      </c>
      <c r="B52" s="385" t="s">
        <v>390</v>
      </c>
      <c r="C52" s="390" t="s">
        <v>22</v>
      </c>
      <c r="D52" s="185" t="str">
        <f>'hitung F1'!G178</f>
        <v>Kesesuaian...</v>
      </c>
      <c r="E52" s="187">
        <v>1.4838709677419355</v>
      </c>
      <c r="F52" s="164">
        <f>'hitung F1'!E180</f>
        <v>0</v>
      </c>
      <c r="G52" s="98"/>
      <c r="H52" s="120">
        <f t="shared" si="0"/>
        <v>0</v>
      </c>
    </row>
    <row r="53" spans="1:8" ht="69" customHeight="1" thickBot="1">
      <c r="A53" s="387">
        <v>41</v>
      </c>
      <c r="B53" s="385" t="s">
        <v>391</v>
      </c>
      <c r="C53" s="390" t="s">
        <v>392</v>
      </c>
      <c r="D53" s="185" t="str">
        <f>'hitung F1'!G182</f>
        <v>Persentase ...</v>
      </c>
      <c r="E53" s="187">
        <v>0.7419354838709677</v>
      </c>
      <c r="F53" s="164">
        <f>'hitung F1'!E183</f>
        <v>1</v>
      </c>
      <c r="G53" s="98"/>
      <c r="H53" s="120">
        <f t="shared" si="0"/>
        <v>0.7419354838709677</v>
      </c>
    </row>
    <row r="54" spans="1:8" ht="102.75" thickBot="1">
      <c r="A54" s="387">
        <v>42</v>
      </c>
      <c r="B54" s="385" t="s">
        <v>23</v>
      </c>
      <c r="C54" s="390" t="s">
        <v>24</v>
      </c>
      <c r="D54" s="185" t="str">
        <f>'hitung F1'!G185</f>
        <v>Kegiatan...</v>
      </c>
      <c r="E54" s="187">
        <v>0.7419354838709677</v>
      </c>
      <c r="F54" s="164">
        <f>'hitung F1'!E186</f>
        <v>2</v>
      </c>
      <c r="G54" s="98"/>
      <c r="H54" s="120">
        <f t="shared" si="0"/>
        <v>1.4838709677419355</v>
      </c>
    </row>
    <row r="55" spans="1:8" ht="69" customHeight="1" thickBot="1">
      <c r="A55" s="387">
        <v>43</v>
      </c>
      <c r="B55" s="385" t="s">
        <v>25</v>
      </c>
      <c r="C55" s="390" t="s">
        <v>26</v>
      </c>
      <c r="D55" s="185" t="str">
        <f>'hitung F1'!G188</f>
        <v>Peningkatan...</v>
      </c>
      <c r="E55" s="187">
        <v>1.4838709677419355</v>
      </c>
      <c r="F55" s="164">
        <f>'hitung F1'!E193</f>
        <v>4</v>
      </c>
      <c r="G55" s="98"/>
      <c r="H55" s="120">
        <f t="shared" si="0"/>
        <v>5.935483870967742</v>
      </c>
    </row>
    <row r="56" spans="1:8" ht="81.75" customHeight="1" thickBot="1">
      <c r="A56" s="387">
        <v>44</v>
      </c>
      <c r="B56" s="385" t="s">
        <v>27</v>
      </c>
      <c r="C56" s="390" t="s">
        <v>393</v>
      </c>
      <c r="D56" s="185" t="str">
        <f>'hitung F1'!G195</f>
        <v>Kegiatan...</v>
      </c>
      <c r="E56" s="187">
        <v>1.4838709677419355</v>
      </c>
      <c r="F56" s="164">
        <f>'hitung F1'!E200</f>
        <v>1.65625</v>
      </c>
      <c r="G56" s="98"/>
      <c r="H56" s="120">
        <f t="shared" si="0"/>
        <v>2.4576612903225805</v>
      </c>
    </row>
    <row r="57" spans="1:8" ht="94.5" customHeight="1" thickBot="1">
      <c r="A57" s="387">
        <v>45</v>
      </c>
      <c r="B57" s="385" t="s">
        <v>28</v>
      </c>
      <c r="C57" s="390" t="s">
        <v>394</v>
      </c>
      <c r="D57" s="185" t="str">
        <f>'hitung F1'!G202</f>
        <v>Prestasi...</v>
      </c>
      <c r="E57" s="186">
        <v>0.7419354838709677</v>
      </c>
      <c r="F57" s="158">
        <f>'hitung F1'!E203</f>
        <v>0</v>
      </c>
      <c r="G57" s="98"/>
      <c r="H57" s="120">
        <f t="shared" si="0"/>
        <v>0</v>
      </c>
    </row>
    <row r="58" spans="1:8" ht="51.75" thickBot="1">
      <c r="A58" s="387">
        <v>46</v>
      </c>
      <c r="B58" s="385" t="s">
        <v>29</v>
      </c>
      <c r="C58" s="390" t="s">
        <v>30</v>
      </c>
      <c r="D58" s="185" t="str">
        <f>'hitung F1'!G205</f>
        <v>Reputasi...</v>
      </c>
      <c r="E58" s="187">
        <v>0.7419354838709677</v>
      </c>
      <c r="F58" s="164">
        <f>'hitung F1'!E207</f>
        <v>2.5</v>
      </c>
      <c r="G58" s="98"/>
      <c r="H58" s="120">
        <f t="shared" si="0"/>
        <v>1.8548387096774195</v>
      </c>
    </row>
    <row r="59" spans="1:8" ht="28.5" customHeight="1" thickBot="1">
      <c r="A59" s="387">
        <v>47</v>
      </c>
      <c r="B59" s="385" t="s">
        <v>395</v>
      </c>
      <c r="C59" s="390" t="s">
        <v>396</v>
      </c>
      <c r="D59" s="185" t="str">
        <f>'hitung F1'!G209</f>
        <v>Pustakawan...</v>
      </c>
      <c r="E59" s="186">
        <v>0.7419354838709677</v>
      </c>
      <c r="F59" s="158">
        <f>'hitung F1'!E214</f>
        <v>1.5</v>
      </c>
      <c r="G59" s="98"/>
      <c r="H59" s="120">
        <f t="shared" si="0"/>
        <v>1.1129032258064515</v>
      </c>
    </row>
    <row r="60" spans="1:8" ht="71.25" customHeight="1" thickBot="1">
      <c r="A60" s="387">
        <v>48</v>
      </c>
      <c r="B60" s="385" t="s">
        <v>397</v>
      </c>
      <c r="C60" s="390" t="s">
        <v>398</v>
      </c>
      <c r="D60" s="185" t="str">
        <f>'hitung F1'!G216</f>
        <v>Laboran...</v>
      </c>
      <c r="E60" s="187">
        <v>1.4838709677419355</v>
      </c>
      <c r="F60" s="164">
        <f>'hitung F1'!E218</f>
        <v>4</v>
      </c>
      <c r="G60" s="98"/>
      <c r="H60" s="120">
        <f t="shared" si="0"/>
        <v>5.935483870967742</v>
      </c>
    </row>
    <row r="61" spans="1:8" ht="54.75" customHeight="1" thickBot="1">
      <c r="A61" s="387">
        <v>49</v>
      </c>
      <c r="B61" s="385" t="s">
        <v>399</v>
      </c>
      <c r="C61" s="385" t="s">
        <v>400</v>
      </c>
      <c r="D61" s="185" t="str">
        <f>'hitung F1'!G220</f>
        <v>Tenaga...</v>
      </c>
      <c r="E61" s="187">
        <v>0.7419354838709677</v>
      </c>
      <c r="F61" s="164">
        <f>'hitung F1'!E226</f>
        <v>4</v>
      </c>
      <c r="G61" s="98"/>
      <c r="H61" s="120">
        <f t="shared" si="0"/>
        <v>2.967741935483871</v>
      </c>
    </row>
    <row r="62" spans="1:8" ht="64.5" thickBot="1">
      <c r="A62" s="387">
        <v>50</v>
      </c>
      <c r="B62" s="385" t="s">
        <v>31</v>
      </c>
      <c r="C62" s="390" t="s">
        <v>401</v>
      </c>
      <c r="D62" s="185" t="str">
        <f>'hitung F1'!G228</f>
        <v>Upaya...</v>
      </c>
      <c r="E62" s="186">
        <v>0.7419354838709677</v>
      </c>
      <c r="F62" s="158">
        <f>'hitung F1'!E229</f>
        <v>1</v>
      </c>
      <c r="G62" s="98"/>
      <c r="H62" s="120">
        <f t="shared" si="0"/>
        <v>0.7419354838709677</v>
      </c>
    </row>
    <row r="63" spans="1:8" ht="42" customHeight="1" thickBot="1">
      <c r="A63" s="387">
        <v>51</v>
      </c>
      <c r="B63" s="385" t="s">
        <v>402</v>
      </c>
      <c r="C63" s="386" t="s">
        <v>403</v>
      </c>
      <c r="D63" s="185" t="str">
        <f>'hitung F1'!G231</f>
        <v>Kompetensi...</v>
      </c>
      <c r="E63" s="186">
        <v>0.5128205128205128</v>
      </c>
      <c r="F63" s="158">
        <f>'hitung F1'!E232</f>
        <v>2</v>
      </c>
      <c r="G63" s="98"/>
      <c r="H63" s="120">
        <f t="shared" si="0"/>
        <v>1.0256410256410255</v>
      </c>
    </row>
    <row r="64" spans="1:8" ht="42" customHeight="1" thickBot="1">
      <c r="A64" s="387">
        <v>52</v>
      </c>
      <c r="B64" s="385" t="s">
        <v>404</v>
      </c>
      <c r="C64" s="386" t="s">
        <v>405</v>
      </c>
      <c r="D64" s="185" t="str">
        <f>'hitung F1'!G234</f>
        <v>Kompetensi...</v>
      </c>
      <c r="E64" s="187">
        <v>0.5128205128205128</v>
      </c>
      <c r="F64" s="164">
        <f>'hitung F1'!E235</f>
        <v>1</v>
      </c>
      <c r="G64" s="98"/>
      <c r="H64" s="120">
        <f t="shared" si="0"/>
        <v>0.5128205128205128</v>
      </c>
    </row>
    <row r="65" spans="1:8" ht="55.5" customHeight="1" thickBot="1">
      <c r="A65" s="387">
        <v>53</v>
      </c>
      <c r="B65" s="385" t="s">
        <v>406</v>
      </c>
      <c r="C65" s="386" t="s">
        <v>407</v>
      </c>
      <c r="D65" s="185" t="str">
        <f>'hitung F1'!G237</f>
        <v>Struktur...</v>
      </c>
      <c r="E65" s="187">
        <v>1.0256410256410255</v>
      </c>
      <c r="F65" s="164">
        <f>'hitung F1'!E238</f>
        <v>3</v>
      </c>
      <c r="G65" s="98"/>
      <c r="H65" s="120">
        <f t="shared" si="0"/>
        <v>3.0769230769230766</v>
      </c>
    </row>
    <row r="66" spans="1:8" ht="57.75" customHeight="1" thickBot="1">
      <c r="A66" s="387">
        <v>54</v>
      </c>
      <c r="B66" s="385" t="s">
        <v>408</v>
      </c>
      <c r="C66" s="386" t="s">
        <v>409</v>
      </c>
      <c r="D66" s="185" t="str">
        <f>'hitung F1'!G240</f>
        <v>Struktur...</v>
      </c>
      <c r="E66" s="188">
        <v>1.5384615384615385</v>
      </c>
      <c r="F66" s="165">
        <f>'hitung F1'!E252</f>
        <v>4</v>
      </c>
      <c r="G66" s="98"/>
      <c r="H66" s="120">
        <f t="shared" si="0"/>
        <v>6.153846153846154</v>
      </c>
    </row>
    <row r="67" spans="1:8" ht="84.75" customHeight="1" thickBot="1">
      <c r="A67" s="387">
        <v>55</v>
      </c>
      <c r="B67" s="385" t="s">
        <v>410</v>
      </c>
      <c r="C67" s="390" t="s">
        <v>411</v>
      </c>
      <c r="D67" s="185" t="str">
        <f>'hitung F1'!G254</f>
        <v>Struktur...</v>
      </c>
      <c r="E67" s="186">
        <v>0.5128205128205128</v>
      </c>
      <c r="F67" s="158">
        <f>'hitung F1'!E258</f>
        <v>0.6666666666666666</v>
      </c>
      <c r="G67" s="98"/>
      <c r="H67" s="120">
        <f t="shared" si="0"/>
        <v>0.34188034188034183</v>
      </c>
    </row>
    <row r="68" spans="1:8" ht="84.75" customHeight="1" thickBot="1">
      <c r="A68" s="387">
        <v>56</v>
      </c>
      <c r="B68" s="385" t="s">
        <v>412</v>
      </c>
      <c r="C68" s="390" t="s">
        <v>413</v>
      </c>
      <c r="D68" s="185" t="str">
        <f>'hitung F1'!G260</f>
        <v>Struktur...</v>
      </c>
      <c r="E68" s="187">
        <v>0.5128205128205128</v>
      </c>
      <c r="F68" s="164">
        <f>'hitung F1'!E264</f>
        <v>4</v>
      </c>
      <c r="G68" s="98"/>
      <c r="H68" s="120">
        <f t="shared" si="0"/>
        <v>2.051282051282051</v>
      </c>
    </row>
    <row r="69" spans="1:8" ht="44.25" customHeight="1" thickBot="1">
      <c r="A69" s="387">
        <v>57</v>
      </c>
      <c r="B69" s="385" t="s">
        <v>414</v>
      </c>
      <c r="C69" s="386" t="s">
        <v>415</v>
      </c>
      <c r="D69" s="185" t="str">
        <f>'hitung F1'!G266</f>
        <v>Substansi...</v>
      </c>
      <c r="E69" s="187">
        <v>1.5384615384615385</v>
      </c>
      <c r="F69" s="164">
        <f>'hitung F1'!E267</f>
        <v>1</v>
      </c>
      <c r="G69" s="98"/>
      <c r="H69" s="120">
        <f t="shared" si="0"/>
        <v>1.5384615384615385</v>
      </c>
    </row>
    <row r="70" spans="1:8" ht="89.25" customHeight="1" thickBot="1">
      <c r="A70" s="387">
        <v>58</v>
      </c>
      <c r="B70" s="385" t="s">
        <v>416</v>
      </c>
      <c r="C70" s="386" t="s">
        <v>417</v>
      </c>
      <c r="D70" s="185" t="str">
        <f>'hitung F1'!G269</f>
        <v>Pelaksanaan...</v>
      </c>
      <c r="E70" s="187">
        <v>0.5128205128205128</v>
      </c>
      <c r="F70" s="164">
        <f>'hitung F1'!E272</f>
        <v>4</v>
      </c>
      <c r="G70" s="98"/>
      <c r="H70" s="120">
        <f t="shared" si="0"/>
        <v>2.051282051282051</v>
      </c>
    </row>
    <row r="71" spans="1:8" ht="74.25" customHeight="1" thickBot="1">
      <c r="A71" s="387">
        <v>59</v>
      </c>
      <c r="B71" s="385" t="s">
        <v>418</v>
      </c>
      <c r="C71" s="386" t="s">
        <v>419</v>
      </c>
      <c r="D71" s="185" t="str">
        <f>'hitung F1'!G274</f>
        <v>Pelaksanaan...</v>
      </c>
      <c r="E71" s="186">
        <v>1.5384615384615385</v>
      </c>
      <c r="F71" s="158">
        <f>'hitung F1'!E286</f>
        <v>2.392857142857143</v>
      </c>
      <c r="G71" s="98"/>
      <c r="H71" s="120">
        <f t="shared" si="0"/>
        <v>3.6813186813186816</v>
      </c>
    </row>
    <row r="72" spans="1:8" ht="52.5" customHeight="1" thickBot="1">
      <c r="A72" s="387">
        <v>60</v>
      </c>
      <c r="B72" s="385" t="s">
        <v>420</v>
      </c>
      <c r="C72" s="386" t="s">
        <v>670</v>
      </c>
      <c r="D72" s="185" t="str">
        <f>'hitung F1'!G288</f>
        <v>Mutu...</v>
      </c>
      <c r="E72" s="186">
        <v>1.0256410256410255</v>
      </c>
      <c r="F72" s="158">
        <f>'hitung F1'!E289</f>
        <v>0</v>
      </c>
      <c r="G72" s="98"/>
      <c r="H72" s="120">
        <f t="shared" si="0"/>
        <v>0</v>
      </c>
    </row>
    <row r="73" spans="1:8" ht="57" customHeight="1" thickBot="1">
      <c r="A73" s="387">
        <v>61</v>
      </c>
      <c r="B73" s="385" t="s">
        <v>421</v>
      </c>
      <c r="C73" s="390" t="s">
        <v>422</v>
      </c>
      <c r="D73" s="185" t="str">
        <f>'hitung F1'!G291</f>
        <v>Peninjauan...</v>
      </c>
      <c r="E73" s="186">
        <v>0.5128205128205128</v>
      </c>
      <c r="F73" s="158">
        <f>'hitung F1'!E292</f>
        <v>0</v>
      </c>
      <c r="G73" s="98"/>
      <c r="H73" s="120">
        <f t="shared" si="0"/>
        <v>0</v>
      </c>
    </row>
    <row r="74" spans="1:8" ht="58.5" customHeight="1" thickBot="1">
      <c r="A74" s="387">
        <v>62</v>
      </c>
      <c r="B74" s="385" t="s">
        <v>32</v>
      </c>
      <c r="C74" s="390" t="s">
        <v>520</v>
      </c>
      <c r="D74" s="185" t="str">
        <f>'hitung F1'!G294</f>
        <v>Penyesuaian...</v>
      </c>
      <c r="E74" s="186">
        <v>0.5128205128205128</v>
      </c>
      <c r="F74" s="158">
        <f>'hitung F1'!E295</f>
        <v>0</v>
      </c>
      <c r="G74" s="98"/>
      <c r="H74" s="120">
        <f t="shared" si="0"/>
        <v>0</v>
      </c>
    </row>
    <row r="75" spans="1:8" ht="60" customHeight="1" thickBot="1">
      <c r="A75" s="387">
        <v>63</v>
      </c>
      <c r="B75" s="385" t="s">
        <v>423</v>
      </c>
      <c r="C75" s="390" t="s">
        <v>521</v>
      </c>
      <c r="D75" s="185" t="str">
        <f>'hitung F1'!G297</f>
        <v>Rata-rata...</v>
      </c>
      <c r="E75" s="186">
        <v>0.5128205128205128</v>
      </c>
      <c r="F75" s="158">
        <f>'hitung F1'!E301</f>
        <v>3</v>
      </c>
      <c r="G75" s="98"/>
      <c r="H75" s="120">
        <f t="shared" si="0"/>
        <v>1.5384615384615383</v>
      </c>
    </row>
    <row r="76" spans="1:8" ht="72" customHeight="1" thickBot="1">
      <c r="A76" s="387">
        <v>64</v>
      </c>
      <c r="B76" s="385" t="s">
        <v>424</v>
      </c>
      <c r="C76" s="390" t="s">
        <v>425</v>
      </c>
      <c r="D76" s="185" t="str">
        <f>'hitung F1'!G303</f>
        <v>Jumlah...</v>
      </c>
      <c r="E76" s="186">
        <v>0.5128205128205128</v>
      </c>
      <c r="F76" s="158">
        <f>'hitung F1'!E304</f>
        <v>3</v>
      </c>
      <c r="G76" s="98"/>
      <c r="H76" s="120">
        <f t="shared" si="0"/>
        <v>1.5384615384615383</v>
      </c>
    </row>
    <row r="77" spans="1:8" ht="84" customHeight="1" thickBot="1">
      <c r="A77" s="387">
        <v>65</v>
      </c>
      <c r="B77" s="385" t="s">
        <v>426</v>
      </c>
      <c r="C77" s="390" t="s">
        <v>427</v>
      </c>
      <c r="D77" s="185" t="str">
        <f>'hitung F1'!G306</f>
        <v>Pelaksanaan...</v>
      </c>
      <c r="E77" s="186">
        <v>0.5128205128205128</v>
      </c>
      <c r="F77" s="158">
        <f>'hitung F1'!E307</f>
        <v>0</v>
      </c>
      <c r="G77" s="98"/>
      <c r="H77" s="120">
        <f aca="true" t="shared" si="1" ref="H77:H115">E77*F77</f>
        <v>0</v>
      </c>
    </row>
    <row r="78" spans="1:8" ht="38.25" customHeight="1" thickBot="1">
      <c r="A78" s="387">
        <v>66</v>
      </c>
      <c r="B78" s="385" t="s">
        <v>428</v>
      </c>
      <c r="C78" s="390" t="s">
        <v>429</v>
      </c>
      <c r="D78" s="185" t="str">
        <f>'hitung F1'!G309</f>
        <v>Efektivitas...</v>
      </c>
      <c r="E78" s="187">
        <v>0.5128205128205128</v>
      </c>
      <c r="F78" s="164">
        <f>'hitung F1'!E310</f>
        <v>0</v>
      </c>
      <c r="G78" s="98"/>
      <c r="H78" s="120">
        <f t="shared" si="1"/>
        <v>0</v>
      </c>
    </row>
    <row r="79" spans="1:8" ht="37.5" customHeight="1" thickBot="1">
      <c r="A79" s="387">
        <v>67</v>
      </c>
      <c r="B79" s="385" t="s">
        <v>430</v>
      </c>
      <c r="C79" s="386" t="s">
        <v>431</v>
      </c>
      <c r="D79" s="185" t="str">
        <f>'hitung F1'!G312</f>
        <v>Bentuk...</v>
      </c>
      <c r="E79" s="186">
        <v>1.0256410256410255</v>
      </c>
      <c r="F79" s="158">
        <f>'hitung F1'!E313</f>
        <v>1</v>
      </c>
      <c r="G79" s="98"/>
      <c r="H79" s="120">
        <f t="shared" si="1"/>
        <v>1.0256410256410255</v>
      </c>
    </row>
    <row r="80" spans="1:8" ht="59.25" customHeight="1" thickBot="1">
      <c r="A80" s="387">
        <v>68</v>
      </c>
      <c r="B80" s="385" t="s">
        <v>432</v>
      </c>
      <c r="C80" s="390" t="s">
        <v>433</v>
      </c>
      <c r="D80" s="185" t="str">
        <f>'hitung F1'!G315</f>
        <v>Ketersediaan...</v>
      </c>
      <c r="E80" s="190">
        <v>0.5128205128205128</v>
      </c>
      <c r="F80" s="167">
        <f>'hitung F1'!E316</f>
        <v>0</v>
      </c>
      <c r="G80" s="98"/>
      <c r="H80" s="120">
        <f t="shared" si="1"/>
        <v>0</v>
      </c>
    </row>
    <row r="81" spans="1:8" ht="42.75" customHeight="1" thickBot="1">
      <c r="A81" s="387">
        <v>69</v>
      </c>
      <c r="B81" s="385" t="s">
        <v>434</v>
      </c>
      <c r="C81" s="390" t="s">
        <v>435</v>
      </c>
      <c r="D81" s="185" t="str">
        <f>'hitung F1'!G318</f>
        <v>Rata-rata...</v>
      </c>
      <c r="E81" s="186">
        <v>0.5128205128205128</v>
      </c>
      <c r="F81" s="158">
        <f>'hitung F1'!E322</f>
        <v>2.5</v>
      </c>
      <c r="G81" s="98"/>
      <c r="H81" s="120">
        <f t="shared" si="1"/>
        <v>1.282051282051282</v>
      </c>
    </row>
    <row r="82" spans="1:8" ht="55.5" customHeight="1" thickBot="1">
      <c r="A82" s="387">
        <v>70</v>
      </c>
      <c r="B82" s="385" t="s">
        <v>436</v>
      </c>
      <c r="C82" s="390" t="s">
        <v>531</v>
      </c>
      <c r="D82" s="185" t="str">
        <f>'hitung F1'!G324</f>
        <v>Rata-rata...</v>
      </c>
      <c r="E82" s="187">
        <v>0.5128205128205128</v>
      </c>
      <c r="F82" s="164">
        <f>'hitung F1'!E325</f>
        <v>4</v>
      </c>
      <c r="G82" s="98"/>
      <c r="H82" s="120">
        <f t="shared" si="1"/>
        <v>2.051282051282051</v>
      </c>
    </row>
    <row r="83" spans="1:8" ht="81" customHeight="1" thickBot="1">
      <c r="A83" s="387">
        <v>71</v>
      </c>
      <c r="B83" s="385" t="s">
        <v>437</v>
      </c>
      <c r="C83" s="390" t="s">
        <v>673</v>
      </c>
      <c r="D83" s="185" t="str">
        <f>'hitung F1'!G327</f>
        <v>Kualifikasi...</v>
      </c>
      <c r="E83" s="187">
        <v>0.5128205128205128</v>
      </c>
      <c r="F83" s="164">
        <f>'hitung F1'!E328</f>
        <v>0</v>
      </c>
      <c r="G83" s="98"/>
      <c r="H83" s="120">
        <f t="shared" si="1"/>
        <v>0</v>
      </c>
    </row>
    <row r="84" spans="1:8" ht="57" customHeight="1" thickBot="1">
      <c r="A84" s="387">
        <v>72</v>
      </c>
      <c r="B84" s="385">
        <v>5.6</v>
      </c>
      <c r="C84" s="386" t="s">
        <v>438</v>
      </c>
      <c r="D84" s="185" t="str">
        <f>'hitung F1'!G330</f>
        <v>Upaya...</v>
      </c>
      <c r="E84" s="187">
        <v>0.5128205128205128</v>
      </c>
      <c r="F84" s="164">
        <f>'hitung F1'!E331</f>
        <v>0</v>
      </c>
      <c r="G84" s="98"/>
      <c r="H84" s="120">
        <f t="shared" si="1"/>
        <v>0</v>
      </c>
    </row>
    <row r="85" spans="1:8" ht="87.75" customHeight="1" thickBot="1">
      <c r="A85" s="387">
        <v>73</v>
      </c>
      <c r="B85" s="385" t="s">
        <v>33</v>
      </c>
      <c r="C85" s="390" t="s">
        <v>34</v>
      </c>
      <c r="D85" s="185" t="str">
        <f>'hitung F1'!G333</f>
        <v>Kebijakan...</v>
      </c>
      <c r="E85" s="187">
        <v>0.5128205128205128</v>
      </c>
      <c r="F85" s="164">
        <f>'hitung F1'!E334</f>
        <v>0</v>
      </c>
      <c r="G85" s="98"/>
      <c r="H85" s="120">
        <f t="shared" si="1"/>
        <v>0</v>
      </c>
    </row>
    <row r="86" spans="1:8" ht="93.75" customHeight="1" thickBot="1">
      <c r="A86" s="387">
        <v>74</v>
      </c>
      <c r="B86" s="385" t="s">
        <v>35</v>
      </c>
      <c r="C86" s="390" t="s">
        <v>36</v>
      </c>
      <c r="D86" s="185" t="str">
        <f>'hitung F1'!G336</f>
        <v>Ketersediaan...</v>
      </c>
      <c r="E86" s="188">
        <v>1.0256410256410255</v>
      </c>
      <c r="F86" s="165">
        <f>'hitung F1'!E337</f>
        <v>1</v>
      </c>
      <c r="G86" s="98"/>
      <c r="H86" s="120">
        <f t="shared" si="1"/>
        <v>1.0256410256410255</v>
      </c>
    </row>
    <row r="87" spans="1:8" ht="97.5" customHeight="1" thickBot="1">
      <c r="A87" s="387">
        <v>75</v>
      </c>
      <c r="B87" s="385" t="s">
        <v>37</v>
      </c>
      <c r="C87" s="390" t="s">
        <v>38</v>
      </c>
      <c r="D87" s="185" t="str">
        <f>'hitung F1'!G339</f>
        <v>Program...</v>
      </c>
      <c r="E87" s="186">
        <v>0.5128205128205128</v>
      </c>
      <c r="F87" s="158">
        <f>'hitung F1'!E340</f>
        <v>0</v>
      </c>
      <c r="G87" s="98"/>
      <c r="H87" s="120">
        <f t="shared" si="1"/>
        <v>0</v>
      </c>
    </row>
    <row r="88" spans="1:8" ht="39" customHeight="1" thickBot="1">
      <c r="A88" s="387">
        <v>76</v>
      </c>
      <c r="B88" s="385" t="s">
        <v>39</v>
      </c>
      <c r="C88" s="390" t="s">
        <v>40</v>
      </c>
      <c r="D88" s="185" t="str">
        <f>'hitung F1'!G342</f>
        <v>Integraksi...</v>
      </c>
      <c r="E88" s="187">
        <v>0.5128205128205128</v>
      </c>
      <c r="F88" s="164">
        <f>'hitung F1'!E343</f>
        <v>0</v>
      </c>
      <c r="G88" s="98"/>
      <c r="H88" s="120">
        <f t="shared" si="1"/>
        <v>0</v>
      </c>
    </row>
    <row r="89" spans="1:8" ht="42.75" customHeight="1" thickBot="1">
      <c r="A89" s="387">
        <v>77</v>
      </c>
      <c r="B89" s="385" t="s">
        <v>466</v>
      </c>
      <c r="C89" s="390" t="s">
        <v>439</v>
      </c>
      <c r="D89" s="185" t="str">
        <f>'hitung F1'!G345</f>
        <v>Pembekalan...</v>
      </c>
      <c r="E89" s="187">
        <v>0.5128205128205128</v>
      </c>
      <c r="F89" s="164">
        <f>'hitung F1'!E346</f>
        <v>0</v>
      </c>
      <c r="G89" s="98"/>
      <c r="H89" s="120">
        <f t="shared" si="1"/>
        <v>0</v>
      </c>
    </row>
    <row r="90" spans="1:8" ht="93" customHeight="1" thickBot="1">
      <c r="A90" s="387">
        <v>78</v>
      </c>
      <c r="B90" s="385" t="s">
        <v>467</v>
      </c>
      <c r="C90" s="390" t="s">
        <v>440</v>
      </c>
      <c r="D90" s="185" t="str">
        <f>'hitung F1'!G348</f>
        <v>Budaya...</v>
      </c>
      <c r="E90" s="186">
        <v>1.0256410256410255</v>
      </c>
      <c r="F90" s="158">
        <f>'hitung F1'!E349</f>
        <v>0</v>
      </c>
      <c r="G90" s="98"/>
      <c r="H90" s="120">
        <f t="shared" si="1"/>
        <v>0</v>
      </c>
    </row>
    <row r="91" spans="1:8" ht="93" customHeight="1" thickBot="1">
      <c r="A91" s="387">
        <v>79</v>
      </c>
      <c r="B91" s="385" t="s">
        <v>322</v>
      </c>
      <c r="C91" s="388" t="s">
        <v>441</v>
      </c>
      <c r="D91" s="185" t="str">
        <f>'hitung F1'!G351</f>
        <v>Keterlibatan...</v>
      </c>
      <c r="E91" s="187">
        <v>0.7272727272727273</v>
      </c>
      <c r="F91" s="164">
        <f>'hitung F1'!E352</f>
        <v>0</v>
      </c>
      <c r="G91" s="98"/>
      <c r="H91" s="120">
        <f t="shared" si="1"/>
        <v>0</v>
      </c>
    </row>
    <row r="92" spans="1:8" ht="67.5" thickBot="1">
      <c r="A92" s="387">
        <v>80</v>
      </c>
      <c r="B92" s="385" t="s">
        <v>442</v>
      </c>
      <c r="C92" s="390" t="s">
        <v>443</v>
      </c>
      <c r="D92" s="185" t="str">
        <f>'hitung F1'!G354</f>
        <v>Persentase...</v>
      </c>
      <c r="E92" s="186">
        <v>0.7272727272727273</v>
      </c>
      <c r="F92" s="158">
        <f>'hitung F1'!E358</f>
        <v>3.648390908876007</v>
      </c>
      <c r="G92" s="98"/>
      <c r="H92" s="120">
        <f t="shared" si="1"/>
        <v>2.653375206455278</v>
      </c>
    </row>
    <row r="93" spans="1:8" ht="41.25" customHeight="1" thickBot="1">
      <c r="A93" s="387">
        <v>81</v>
      </c>
      <c r="B93" s="385" t="s">
        <v>444</v>
      </c>
      <c r="C93" s="390" t="s">
        <v>445</v>
      </c>
      <c r="D93" s="185" t="str">
        <f>'hitung F1'!G360</f>
        <v>Biaya...</v>
      </c>
      <c r="E93" s="187">
        <v>2.1818181818181817</v>
      </c>
      <c r="F93" s="164">
        <f>'hitung F1'!E370</f>
        <v>4</v>
      </c>
      <c r="G93" s="98"/>
      <c r="H93" s="120">
        <f t="shared" si="1"/>
        <v>8.727272727272727</v>
      </c>
    </row>
    <row r="94" spans="1:8" ht="39" customHeight="1" thickBot="1">
      <c r="A94" s="387">
        <v>82</v>
      </c>
      <c r="B94" s="385" t="s">
        <v>42</v>
      </c>
      <c r="C94" s="390" t="s">
        <v>446</v>
      </c>
      <c r="D94" s="185" t="str">
        <f>'hitung F1'!G372</f>
        <v>Dana...</v>
      </c>
      <c r="E94" s="187">
        <v>1.4545454545454546</v>
      </c>
      <c r="F94" s="164">
        <f>'hitung F1'!E375</f>
        <v>4</v>
      </c>
      <c r="G94" s="98"/>
      <c r="H94" s="120">
        <f t="shared" si="1"/>
        <v>5.818181818181818</v>
      </c>
    </row>
    <row r="95" spans="1:8" ht="55.5" customHeight="1" thickBot="1">
      <c r="A95" s="387">
        <v>83</v>
      </c>
      <c r="B95" s="385" t="s">
        <v>43</v>
      </c>
      <c r="C95" s="390" t="s">
        <v>544</v>
      </c>
      <c r="D95" s="185" t="str">
        <f>'hitung F1'!G377</f>
        <v>Dana...</v>
      </c>
      <c r="E95" s="186">
        <v>1.4545454545454546</v>
      </c>
      <c r="F95" s="158">
        <f>'hitung F1'!E380</f>
        <v>0</v>
      </c>
      <c r="G95" s="98"/>
      <c r="H95" s="120">
        <f t="shared" si="1"/>
        <v>0</v>
      </c>
    </row>
    <row r="96" spans="1:8" ht="32.25" customHeight="1" thickBot="1">
      <c r="A96" s="387">
        <v>84</v>
      </c>
      <c r="B96" s="385" t="s">
        <v>44</v>
      </c>
      <c r="C96" s="386" t="s">
        <v>447</v>
      </c>
      <c r="D96" s="185" t="str">
        <f>'hitung F1'!G382</f>
        <v>Ruang...</v>
      </c>
      <c r="E96" s="187">
        <v>0.7272727272727273</v>
      </c>
      <c r="F96" s="164">
        <f>'hitung F1'!E391</f>
        <v>2</v>
      </c>
      <c r="G96" s="98"/>
      <c r="H96" s="120">
        <f t="shared" si="1"/>
        <v>1.4545454545454546</v>
      </c>
    </row>
    <row r="97" spans="1:8" ht="132" customHeight="1" thickBot="1">
      <c r="A97" s="387">
        <v>85</v>
      </c>
      <c r="B97" s="385" t="s">
        <v>45</v>
      </c>
      <c r="C97" s="390" t="s">
        <v>448</v>
      </c>
      <c r="D97" s="185" t="str">
        <f>'hitung F1'!G393</f>
        <v>Kelengkapan...</v>
      </c>
      <c r="E97" s="187">
        <v>2.909090909090909</v>
      </c>
      <c r="F97" s="164">
        <f>'hitung F1'!E394</f>
        <v>1</v>
      </c>
      <c r="G97" s="98"/>
      <c r="H97" s="120">
        <f t="shared" si="1"/>
        <v>2.909090909090909</v>
      </c>
    </row>
    <row r="98" spans="1:8" ht="85.5" customHeight="1" thickBot="1">
      <c r="A98" s="387">
        <v>86</v>
      </c>
      <c r="B98" s="385" t="s">
        <v>46</v>
      </c>
      <c r="C98" s="390" t="s">
        <v>547</v>
      </c>
      <c r="D98" s="185" t="str">
        <f>'hitung F1'!G397</f>
        <v>Kelayakan...</v>
      </c>
      <c r="E98" s="186">
        <v>0.7272727272727273</v>
      </c>
      <c r="F98" s="158">
        <f>'hitung F1'!E398</f>
        <v>3</v>
      </c>
      <c r="G98" s="98"/>
      <c r="H98" s="120">
        <f t="shared" si="1"/>
        <v>2.1818181818181817</v>
      </c>
    </row>
    <row r="99" spans="1:8" ht="64.5" thickBot="1">
      <c r="A99" s="387">
        <v>87</v>
      </c>
      <c r="B99" s="385" t="s">
        <v>449</v>
      </c>
      <c r="C99" s="390" t="s">
        <v>450</v>
      </c>
      <c r="D99" s="185" t="str">
        <f>'hitung F1'!G400</f>
        <v>Bahan ...</v>
      </c>
      <c r="E99" s="187">
        <v>0.7272727272727273</v>
      </c>
      <c r="F99" s="164">
        <f>'hitung F1'!E407</f>
        <v>1.4</v>
      </c>
      <c r="G99" s="98"/>
      <c r="H99" s="120">
        <f t="shared" si="1"/>
        <v>1.018181818181818</v>
      </c>
    </row>
    <row r="100" spans="1:8" ht="30.75" customHeight="1" thickBot="1">
      <c r="A100" s="387">
        <v>88</v>
      </c>
      <c r="B100" s="385" t="s">
        <v>451</v>
      </c>
      <c r="C100" s="390" t="s">
        <v>675</v>
      </c>
      <c r="D100" s="185" t="str">
        <f>'hitung F1'!G409</f>
        <v>Bahan...</v>
      </c>
      <c r="E100" s="187">
        <v>1.4545454545454546</v>
      </c>
      <c r="F100" s="164">
        <f>'hitung F1'!E411</f>
        <v>0</v>
      </c>
      <c r="G100" s="98"/>
      <c r="H100" s="120">
        <f t="shared" si="1"/>
        <v>0</v>
      </c>
    </row>
    <row r="101" spans="1:8" ht="26.25" thickBot="1">
      <c r="A101" s="387">
        <v>89</v>
      </c>
      <c r="B101" s="385" t="s">
        <v>452</v>
      </c>
      <c r="C101" s="390" t="s">
        <v>453</v>
      </c>
      <c r="D101" s="185" t="str">
        <f>'hitung F1'!G413</f>
        <v>Bahan...</v>
      </c>
      <c r="E101" s="187">
        <v>0.36363636363636365</v>
      </c>
      <c r="F101" s="164">
        <f>'hitung F1'!E415</f>
        <v>1</v>
      </c>
      <c r="G101" s="98"/>
      <c r="H101" s="120">
        <f t="shared" si="1"/>
        <v>0.36363636363636365</v>
      </c>
    </row>
    <row r="102" spans="1:8" ht="39" thickBot="1">
      <c r="A102" s="387">
        <v>90</v>
      </c>
      <c r="B102" s="385" t="s">
        <v>454</v>
      </c>
      <c r="C102" s="390" t="s">
        <v>323</v>
      </c>
      <c r="D102" s="185" t="str">
        <f>'hitung F1'!G417</f>
        <v>Bahan...</v>
      </c>
      <c r="E102" s="187">
        <v>0.36363636363636365</v>
      </c>
      <c r="F102" s="164">
        <f>'hitung F1'!E419</f>
        <v>1</v>
      </c>
      <c r="G102" s="98"/>
      <c r="H102" s="120">
        <f t="shared" si="1"/>
        <v>0.36363636363636365</v>
      </c>
    </row>
    <row r="103" spans="1:8" ht="39" thickBot="1">
      <c r="A103" s="387">
        <v>91</v>
      </c>
      <c r="B103" s="385" t="s">
        <v>455</v>
      </c>
      <c r="C103" s="390" t="s">
        <v>456</v>
      </c>
      <c r="D103" s="185" t="str">
        <f>'hitung F1'!G421</f>
        <v>Bahan...</v>
      </c>
      <c r="E103" s="186">
        <v>0.36363636363636365</v>
      </c>
      <c r="F103" s="158">
        <f>'hitung F1'!E423</f>
        <v>2</v>
      </c>
      <c r="G103" s="98"/>
      <c r="H103" s="120">
        <f t="shared" si="1"/>
        <v>0.7272727272727273</v>
      </c>
    </row>
    <row r="104" spans="1:8" ht="42" customHeight="1" thickBot="1">
      <c r="A104" s="387">
        <v>92</v>
      </c>
      <c r="B104" s="385" t="s">
        <v>457</v>
      </c>
      <c r="C104" s="390" t="s">
        <v>533</v>
      </c>
      <c r="D104" s="185" t="str">
        <f>'hitung F1'!G425</f>
        <v>Bahan...</v>
      </c>
      <c r="E104" s="187">
        <v>0.36363636363636365</v>
      </c>
      <c r="F104" s="164">
        <f>'hitung F1'!E426</f>
        <v>0</v>
      </c>
      <c r="G104" s="98"/>
      <c r="H104" s="120">
        <f t="shared" si="1"/>
        <v>0</v>
      </c>
    </row>
    <row r="105" spans="1:8" ht="48" customHeight="1" thickBot="1">
      <c r="A105" s="387">
        <v>93</v>
      </c>
      <c r="B105" s="385" t="s">
        <v>47</v>
      </c>
      <c r="C105" s="390" t="s">
        <v>48</v>
      </c>
      <c r="D105" s="185" t="str">
        <f>'hitung F1'!G428</f>
        <v>Akses...</v>
      </c>
      <c r="E105" s="187">
        <v>0.36363636363636365</v>
      </c>
      <c r="F105" s="164">
        <f>'hitung F1'!E430</f>
        <v>1</v>
      </c>
      <c r="G105" s="98"/>
      <c r="H105" s="120">
        <f t="shared" si="1"/>
        <v>0.36363636363636365</v>
      </c>
    </row>
    <row r="106" spans="1:8" ht="82.5" customHeight="1" thickBot="1">
      <c r="A106" s="387">
        <v>94</v>
      </c>
      <c r="B106" s="385" t="s">
        <v>49</v>
      </c>
      <c r="C106" s="388" t="s">
        <v>458</v>
      </c>
      <c r="D106" s="185" t="str">
        <f>'hitung F1'!G432</f>
        <v>Ketersediaan</v>
      </c>
      <c r="E106" s="187">
        <v>2.909090909090909</v>
      </c>
      <c r="F106" s="164">
        <f>'hitung F1'!E433</f>
        <v>2</v>
      </c>
      <c r="G106" s="98"/>
      <c r="H106" s="120">
        <f t="shared" si="1"/>
        <v>5.818181818181818</v>
      </c>
    </row>
    <row r="107" spans="1:8" ht="96.75" customHeight="1" thickBot="1">
      <c r="A107" s="387">
        <v>95</v>
      </c>
      <c r="B107" s="385" t="s">
        <v>50</v>
      </c>
      <c r="C107" s="386" t="s">
        <v>459</v>
      </c>
      <c r="D107" s="185" t="str">
        <f>'hitung F1'!G435</f>
        <v>Sistem ...</v>
      </c>
      <c r="E107" s="187">
        <v>1.4545454545454546</v>
      </c>
      <c r="F107" s="164">
        <f>'hitung F1'!E436</f>
        <v>1</v>
      </c>
      <c r="G107" s="98"/>
      <c r="H107" s="120">
        <f t="shared" si="1"/>
        <v>1.4545454545454546</v>
      </c>
    </row>
    <row r="108" spans="1:8" ht="26.25" customHeight="1" thickBot="1">
      <c r="A108" s="387">
        <v>96</v>
      </c>
      <c r="B108" s="385" t="s">
        <v>51</v>
      </c>
      <c r="C108" s="390" t="s">
        <v>52</v>
      </c>
      <c r="D108" s="185" t="str">
        <f>'hitung F1'!G438</f>
        <v>Aksesibilitas...</v>
      </c>
      <c r="E108" s="187">
        <v>0.7272727272727273</v>
      </c>
      <c r="F108" s="164">
        <f>'hitung F1'!E444</f>
        <v>1</v>
      </c>
      <c r="G108" s="98"/>
      <c r="H108" s="120">
        <f t="shared" si="1"/>
        <v>0.7272727272727273</v>
      </c>
    </row>
    <row r="109" spans="1:8" ht="102.75" thickBot="1">
      <c r="A109" s="387">
        <v>97</v>
      </c>
      <c r="B109" s="385" t="s">
        <v>53</v>
      </c>
      <c r="C109" s="390" t="s">
        <v>460</v>
      </c>
      <c r="D109" s="185" t="str">
        <f>'hitung F1'!G447</f>
        <v>Jumlah...</v>
      </c>
      <c r="E109" s="187">
        <v>1.5384615384615385</v>
      </c>
      <c r="F109" s="164">
        <f>'hitung F1'!E453</f>
        <v>0</v>
      </c>
      <c r="G109" s="98"/>
      <c r="H109" s="120">
        <f t="shared" si="1"/>
        <v>0</v>
      </c>
    </row>
    <row r="110" spans="1:8" ht="55.5" customHeight="1" thickBot="1">
      <c r="A110" s="387">
        <v>98</v>
      </c>
      <c r="B110" s="385" t="s">
        <v>54</v>
      </c>
      <c r="C110" s="390" t="s">
        <v>461</v>
      </c>
      <c r="D110" s="185" t="str">
        <f>'hitung F1'!G455</f>
        <v>Jumlah...</v>
      </c>
      <c r="E110" s="187">
        <v>0.7692307692307693</v>
      </c>
      <c r="F110" s="164">
        <f>'hitung F1'!E461</f>
        <v>1.5</v>
      </c>
      <c r="G110" s="98"/>
      <c r="H110" s="120">
        <f t="shared" si="1"/>
        <v>1.153846153846154</v>
      </c>
    </row>
    <row r="111" spans="1:8" ht="118.5" customHeight="1" thickBot="1">
      <c r="A111" s="387">
        <v>99</v>
      </c>
      <c r="B111" s="385" t="s">
        <v>55</v>
      </c>
      <c r="C111" s="391" t="s">
        <v>462</v>
      </c>
      <c r="D111" s="239" t="str">
        <f>'hitung F1'!G463</f>
        <v>Karya...</v>
      </c>
      <c r="E111" s="240">
        <v>0.7692307692307693</v>
      </c>
      <c r="F111" s="241">
        <f>'hitung F1'!E465</f>
        <v>2</v>
      </c>
      <c r="G111" s="98"/>
      <c r="H111" s="120">
        <f t="shared" si="1"/>
        <v>1.5384615384615385</v>
      </c>
    </row>
    <row r="112" spans="1:8" ht="105" customHeight="1" thickBot="1">
      <c r="A112" s="387">
        <v>100</v>
      </c>
      <c r="B112" s="385" t="s">
        <v>56</v>
      </c>
      <c r="C112" s="392" t="s">
        <v>463</v>
      </c>
      <c r="D112" s="276" t="str">
        <f>'hitung F1'!G467</f>
        <v>Jumlah...</v>
      </c>
      <c r="E112" s="393">
        <v>3.076923076923077</v>
      </c>
      <c r="F112" s="277">
        <f>'hitung F1'!E473</f>
        <v>1.75</v>
      </c>
      <c r="G112" s="98"/>
      <c r="H112" s="120">
        <f t="shared" si="1"/>
        <v>5.384615384615385</v>
      </c>
    </row>
    <row r="113" spans="1:8" ht="57" customHeight="1" thickBot="1">
      <c r="A113" s="387">
        <v>101</v>
      </c>
      <c r="B113" s="385" t="s">
        <v>57</v>
      </c>
      <c r="C113" s="392" t="s">
        <v>464</v>
      </c>
      <c r="D113" s="276" t="str">
        <f>'hitung F1'!G475</f>
        <v>Keterlibatan...</v>
      </c>
      <c r="E113" s="393">
        <v>1.5384615384615385</v>
      </c>
      <c r="F113" s="277">
        <f>'hitung F1'!E476</f>
        <v>2</v>
      </c>
      <c r="G113" s="98"/>
      <c r="H113" s="120">
        <f t="shared" si="1"/>
        <v>3.076923076923077</v>
      </c>
    </row>
    <row r="114" spans="1:8" ht="53.25" customHeight="1" thickBot="1">
      <c r="A114" s="387">
        <v>102</v>
      </c>
      <c r="B114" s="385" t="s">
        <v>58</v>
      </c>
      <c r="C114" s="392" t="s">
        <v>59</v>
      </c>
      <c r="D114" s="276" t="str">
        <f>'hitung F1'!G478</f>
        <v>Kegiatan...</v>
      </c>
      <c r="E114" s="393">
        <v>1.5384615384615385</v>
      </c>
      <c r="F114" s="277">
        <f>'hitung F1'!E479</f>
        <v>3</v>
      </c>
      <c r="G114" s="98"/>
      <c r="H114" s="120">
        <f t="shared" si="1"/>
        <v>4.615384615384616</v>
      </c>
    </row>
    <row r="115" spans="1:8" ht="51.75" thickBot="1">
      <c r="A115" s="387">
        <v>103</v>
      </c>
      <c r="B115" s="385" t="s">
        <v>60</v>
      </c>
      <c r="C115" s="392" t="s">
        <v>61</v>
      </c>
      <c r="D115" s="276" t="str">
        <f>'hitung F1'!G481</f>
        <v>Kegiatan...</v>
      </c>
      <c r="E115" s="393">
        <v>0.7692307692307693</v>
      </c>
      <c r="F115" s="277">
        <f>'hitung F1'!E483</f>
        <v>2</v>
      </c>
      <c r="G115" s="98"/>
      <c r="H115" s="120">
        <f t="shared" si="1"/>
        <v>1.5384615384615385</v>
      </c>
    </row>
    <row r="116" spans="1:8" ht="15.75">
      <c r="A116" s="136" t="s">
        <v>62</v>
      </c>
      <c r="B116" s="101"/>
      <c r="C116" s="198"/>
      <c r="D116" s="98"/>
      <c r="E116" s="394">
        <f>SUM(E13:E115)</f>
        <v>99.99999999999999</v>
      </c>
      <c r="F116" s="102"/>
      <c r="G116" s="98"/>
      <c r="H116" s="98"/>
    </row>
    <row r="117" spans="1:8" ht="15.75">
      <c r="A117" s="103"/>
      <c r="B117" s="101"/>
      <c r="C117" s="198"/>
      <c r="D117" s="98"/>
      <c r="E117" s="102"/>
      <c r="F117" s="102"/>
      <c r="G117" s="98"/>
      <c r="H117" s="98"/>
    </row>
    <row r="118" spans="1:8" ht="15">
      <c r="A118" s="140"/>
      <c r="B118" s="140"/>
      <c r="C118" s="140"/>
      <c r="D118" s="98"/>
      <c r="E118" s="102"/>
      <c r="F118" s="102"/>
      <c r="G118" s="98"/>
      <c r="H118" s="98"/>
    </row>
    <row r="119" spans="1:8" ht="17.25" customHeight="1">
      <c r="A119" s="140"/>
      <c r="B119" s="140"/>
      <c r="C119" s="140"/>
      <c r="D119" s="115" t="s">
        <v>208</v>
      </c>
      <c r="E119" s="102"/>
      <c r="F119" s="102"/>
      <c r="G119" s="98"/>
      <c r="H119" s="98"/>
    </row>
    <row r="120" spans="1:8" ht="15">
      <c r="A120" s="140"/>
      <c r="B120" s="140"/>
      <c r="C120" s="140"/>
      <c r="D120" s="98"/>
      <c r="E120" s="102"/>
      <c r="F120" s="102"/>
      <c r="G120" s="98"/>
      <c r="H120" s="98"/>
    </row>
    <row r="121" spans="1:8" ht="15">
      <c r="A121" s="101"/>
      <c r="B121" s="101"/>
      <c r="C121" s="198"/>
      <c r="D121" s="441" t="s">
        <v>63</v>
      </c>
      <c r="E121" s="441"/>
      <c r="F121" s="441"/>
      <c r="G121" s="98"/>
      <c r="H121" s="98"/>
    </row>
    <row r="122" spans="1:8" ht="36.75" customHeight="1">
      <c r="A122" s="101"/>
      <c r="B122" s="101"/>
      <c r="C122" s="198"/>
      <c r="D122" s="105"/>
      <c r="E122" s="102"/>
      <c r="F122" s="102"/>
      <c r="G122" s="98"/>
      <c r="H122" s="98"/>
    </row>
    <row r="123" spans="1:8" ht="15">
      <c r="A123" s="101"/>
      <c r="B123" s="101"/>
      <c r="C123" s="198"/>
      <c r="D123" s="117" t="s">
        <v>64</v>
      </c>
      <c r="E123" s="102"/>
      <c r="F123" s="102"/>
      <c r="G123" s="98"/>
      <c r="H123" s="98"/>
    </row>
    <row r="124" spans="1:8" ht="15">
      <c r="A124" s="101"/>
      <c r="B124" s="101"/>
      <c r="C124" s="198"/>
      <c r="D124" s="98"/>
      <c r="E124" s="102"/>
      <c r="F124" s="102"/>
      <c r="G124" s="98"/>
      <c r="H124" s="98"/>
    </row>
    <row r="125" ht="48" customHeight="1"/>
    <row r="128" ht="27.75" customHeight="1"/>
    <row r="133" ht="106.5" customHeight="1"/>
    <row r="134" ht="58.5" customHeight="1"/>
    <row r="139" ht="11.25" customHeight="1"/>
    <row r="145" ht="20.25" customHeight="1"/>
    <row r="147" ht="11.25" customHeight="1"/>
    <row r="151" ht="33" customHeight="1"/>
    <row r="152" ht="11.25" customHeight="1"/>
    <row r="160" ht="15" customHeight="1">
      <c r="E160" s="439"/>
    </row>
    <row r="161" ht="15">
      <c r="E161" s="439"/>
    </row>
    <row r="162" ht="15">
      <c r="E162" s="439"/>
    </row>
    <row r="163" ht="15" customHeight="1">
      <c r="E163" s="439"/>
    </row>
    <row r="164" ht="15">
      <c r="E164" s="439"/>
    </row>
    <row r="165" ht="15">
      <c r="E165" s="439"/>
    </row>
  </sheetData>
  <sheetProtection formatCells="0" formatColumns="0" formatRows="0" selectLockedCells="1"/>
  <mergeCells count="8">
    <mergeCell ref="E163:E165"/>
    <mergeCell ref="A5:C5"/>
    <mergeCell ref="A6:C6"/>
    <mergeCell ref="A7:C7"/>
    <mergeCell ref="A8:C8"/>
    <mergeCell ref="A9:C9"/>
    <mergeCell ref="E160:E162"/>
    <mergeCell ref="D121:F1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7">
      <selection activeCell="J12" sqref="J12"/>
    </sheetView>
  </sheetViews>
  <sheetFormatPr defaultColWidth="9.140625" defaultRowHeight="15"/>
  <cols>
    <col min="1" max="1" width="4.7109375" style="0" customWidth="1"/>
    <col min="2" max="2" width="9.421875" style="0" customWidth="1"/>
    <col min="3" max="3" width="6.7109375" style="10" customWidth="1"/>
    <col min="4" max="4" width="6.8515625" style="10" customWidth="1"/>
    <col min="5" max="5" width="8.140625" style="0" customWidth="1"/>
    <col min="6" max="6" width="33.140625" style="0" customWidth="1"/>
    <col min="7" max="7" width="18.140625" style="0" customWidth="1"/>
    <col min="8" max="8" width="1.421875" style="0" customWidth="1"/>
    <col min="10" max="10" width="9.140625" style="5" customWidth="1"/>
    <col min="11" max="11" width="10.00390625" style="0" customWidth="1"/>
  </cols>
  <sheetData>
    <row r="1" spans="1:11" ht="15.75">
      <c r="A1" s="396" t="s">
        <v>690</v>
      </c>
      <c r="B1" s="98"/>
      <c r="C1" s="102"/>
      <c r="D1" s="102"/>
      <c r="E1" s="98"/>
      <c r="F1" s="98"/>
      <c r="G1" s="98"/>
      <c r="H1" s="98"/>
      <c r="I1" s="98"/>
      <c r="J1" s="101"/>
      <c r="K1" s="98"/>
    </row>
    <row r="2" spans="1:11" ht="15.75">
      <c r="A2" s="397"/>
      <c r="B2" s="98"/>
      <c r="C2" s="102"/>
      <c r="D2" s="102"/>
      <c r="E2" s="98"/>
      <c r="F2" s="98"/>
      <c r="G2" s="98"/>
      <c r="H2" s="98"/>
      <c r="I2" s="98"/>
      <c r="J2" s="101"/>
      <c r="K2" s="98"/>
    </row>
    <row r="3" spans="1:11" ht="15.75">
      <c r="A3" s="284" t="s">
        <v>66</v>
      </c>
      <c r="B3" s="284"/>
      <c r="C3" s="284"/>
      <c r="D3" s="105"/>
      <c r="E3" s="98" t="str">
        <f>'F6'!E3</f>
        <v>: ...</v>
      </c>
      <c r="F3" s="98"/>
      <c r="G3" s="98"/>
      <c r="H3" s="98"/>
      <c r="I3" s="98"/>
      <c r="J3" s="101"/>
      <c r="K3" s="98"/>
    </row>
    <row r="4" spans="1:11" ht="15.75">
      <c r="A4" s="284" t="s">
        <v>67</v>
      </c>
      <c r="B4" s="284"/>
      <c r="C4" s="284"/>
      <c r="D4" s="106"/>
      <c r="E4" s="98" t="str">
        <f>'F6'!E4</f>
        <v>: ...</v>
      </c>
      <c r="F4" s="98"/>
      <c r="G4" s="98"/>
      <c r="H4" s="98"/>
      <c r="I4" s="98"/>
      <c r="J4" s="101"/>
      <c r="K4" s="98"/>
    </row>
    <row r="5" spans="1:11" ht="15.75" customHeight="1">
      <c r="A5" s="399" t="s">
        <v>68</v>
      </c>
      <c r="B5" s="399"/>
      <c r="C5" s="399"/>
      <c r="D5" s="106"/>
      <c r="E5" s="98" t="str">
        <f>'F6'!E5</f>
        <v>: ...</v>
      </c>
      <c r="F5" s="98"/>
      <c r="G5" s="98"/>
      <c r="H5" s="98"/>
      <c r="I5" s="98"/>
      <c r="J5" s="101"/>
      <c r="K5" s="98"/>
    </row>
    <row r="6" spans="1:11" ht="15.75">
      <c r="A6" s="440"/>
      <c r="B6" s="440"/>
      <c r="C6" s="440"/>
      <c r="D6" s="106"/>
      <c r="E6" s="98"/>
      <c r="F6" s="98"/>
      <c r="G6" s="98"/>
      <c r="H6" s="98"/>
      <c r="I6" s="98"/>
      <c r="J6" s="101"/>
      <c r="K6" s="98"/>
    </row>
    <row r="7" spans="1:16" ht="15.75">
      <c r="A7" s="284" t="s">
        <v>127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382"/>
      <c r="M7" s="382"/>
      <c r="N7" s="382"/>
      <c r="O7" s="382"/>
      <c r="P7" s="382"/>
    </row>
    <row r="8" spans="1:11" ht="15.75">
      <c r="A8" s="284" t="s">
        <v>128</v>
      </c>
      <c r="B8" s="198"/>
      <c r="C8" s="198"/>
      <c r="D8" s="198"/>
      <c r="E8" s="198"/>
      <c r="F8" s="198"/>
      <c r="G8" s="198"/>
      <c r="H8" s="198"/>
      <c r="I8" s="198"/>
      <c r="J8" s="101"/>
      <c r="K8" s="98"/>
    </row>
    <row r="9" spans="1:11" ht="15.75" thickBot="1">
      <c r="A9" s="98"/>
      <c r="B9" s="98"/>
      <c r="C9" s="102"/>
      <c r="D9" s="102"/>
      <c r="E9" s="98"/>
      <c r="F9" s="98"/>
      <c r="G9" s="98"/>
      <c r="H9" s="98"/>
      <c r="I9" s="98"/>
      <c r="J9" s="101"/>
      <c r="K9" s="98"/>
    </row>
    <row r="10" spans="1:11" ht="30.75" customHeight="1" thickBot="1">
      <c r="A10" s="581" t="s">
        <v>1</v>
      </c>
      <c r="B10" s="581" t="s">
        <v>123</v>
      </c>
      <c r="C10" s="586" t="s">
        <v>71</v>
      </c>
      <c r="D10" s="587"/>
      <c r="E10" s="588"/>
      <c r="F10" s="581" t="s">
        <v>130</v>
      </c>
      <c r="G10" s="581" t="s">
        <v>124</v>
      </c>
      <c r="H10" s="98"/>
      <c r="I10" s="592" t="s">
        <v>195</v>
      </c>
      <c r="J10" s="592"/>
      <c r="K10" s="590" t="s">
        <v>199</v>
      </c>
    </row>
    <row r="11" spans="1:11" ht="30.75" thickBot="1">
      <c r="A11" s="583"/>
      <c r="B11" s="583"/>
      <c r="C11" s="411" t="s">
        <v>72</v>
      </c>
      <c r="D11" s="411" t="s">
        <v>73</v>
      </c>
      <c r="E11" s="411" t="s">
        <v>74</v>
      </c>
      <c r="F11" s="583"/>
      <c r="G11" s="583"/>
      <c r="H11" s="98"/>
      <c r="I11" s="592"/>
      <c r="J11" s="592"/>
      <c r="K11" s="591"/>
    </row>
    <row r="12" spans="1:11" ht="15.75" thickBot="1">
      <c r="A12" s="425">
        <f>'F5'!A10</f>
        <v>1</v>
      </c>
      <c r="B12" s="426" t="str">
        <f>'F5'!B10</f>
        <v>1.1.1</v>
      </c>
      <c r="C12" s="123"/>
      <c r="D12" s="123"/>
      <c r="E12" s="123">
        <f>(C12+D12)/2</f>
        <v>0</v>
      </c>
      <c r="F12" s="279">
        <f>'F5'!D10</f>
        <v>0</v>
      </c>
      <c r="G12" s="406"/>
      <c r="H12" s="98"/>
      <c r="I12" s="427">
        <f>'F 3'!E14</f>
        <v>1.5</v>
      </c>
      <c r="J12" s="427">
        <f>E12*I12</f>
        <v>0</v>
      </c>
      <c r="K12" s="427">
        <f>'F 3'!F14</f>
        <v>1</v>
      </c>
    </row>
    <row r="13" spans="1:11" ht="15.75" thickBot="1">
      <c r="A13" s="425">
        <f>'F5'!A11</f>
        <v>2</v>
      </c>
      <c r="B13" s="426" t="str">
        <f>'F5'!B11</f>
        <v>1.1.2</v>
      </c>
      <c r="C13" s="123"/>
      <c r="D13" s="123"/>
      <c r="E13" s="123">
        <f aca="true" t="shared" si="0" ref="E13:E55">(C13+D13)/2</f>
        <v>0</v>
      </c>
      <c r="F13" s="279">
        <f>'F5'!D11</f>
        <v>0</v>
      </c>
      <c r="G13" s="406"/>
      <c r="H13" s="98"/>
      <c r="I13" s="427">
        <f>'F 3'!E15</f>
        <v>3</v>
      </c>
      <c r="J13" s="427">
        <f aca="true" t="shared" si="1" ref="J13:J57">E13*I13</f>
        <v>0</v>
      </c>
      <c r="K13" s="427">
        <f>'F 3'!F15</f>
        <v>1</v>
      </c>
    </row>
    <row r="14" spans="1:11" ht="15.75" thickBot="1">
      <c r="A14" s="425">
        <f>'F5'!A12</f>
        <v>3</v>
      </c>
      <c r="B14" s="426" t="str">
        <f>'F5'!B12</f>
        <v>1.2</v>
      </c>
      <c r="C14" s="123"/>
      <c r="D14" s="123"/>
      <c r="E14" s="123">
        <f t="shared" si="0"/>
        <v>0</v>
      </c>
      <c r="F14" s="279">
        <f>'F5'!D12</f>
        <v>0</v>
      </c>
      <c r="G14" s="406"/>
      <c r="H14" s="98"/>
      <c r="I14" s="427">
        <f>'F 3'!E16</f>
        <v>1.5</v>
      </c>
      <c r="J14" s="427">
        <f t="shared" si="1"/>
        <v>0</v>
      </c>
      <c r="K14" s="427">
        <f>'F 3'!F16</f>
        <v>1</v>
      </c>
    </row>
    <row r="15" spans="1:11" ht="15.75" thickBot="1">
      <c r="A15" s="425">
        <f>'F5'!A13</f>
        <v>4</v>
      </c>
      <c r="B15" s="426" t="str">
        <f>'F5'!B13</f>
        <v>2.1</v>
      </c>
      <c r="C15" s="123"/>
      <c r="D15" s="123"/>
      <c r="E15" s="123">
        <f t="shared" si="0"/>
        <v>0</v>
      </c>
      <c r="F15" s="279">
        <f>'F5'!D13</f>
        <v>0</v>
      </c>
      <c r="G15" s="406"/>
      <c r="H15" s="98"/>
      <c r="I15" s="427">
        <f>'F 3'!E17</f>
        <v>2.307692307692308</v>
      </c>
      <c r="J15" s="427">
        <f t="shared" si="1"/>
        <v>0</v>
      </c>
      <c r="K15" s="427">
        <f>'F 3'!F17</f>
        <v>0</v>
      </c>
    </row>
    <row r="16" spans="1:11" ht="15.75" thickBot="1">
      <c r="A16" s="425">
        <f>'F5'!A14</f>
        <v>5</v>
      </c>
      <c r="B16" s="426" t="str">
        <f>'F5'!B14</f>
        <v>2.2</v>
      </c>
      <c r="C16" s="123"/>
      <c r="D16" s="123"/>
      <c r="E16" s="123">
        <f t="shared" si="0"/>
        <v>0</v>
      </c>
      <c r="F16" s="279">
        <f>'F5'!D14</f>
        <v>0</v>
      </c>
      <c r="G16" s="406"/>
      <c r="H16" s="98"/>
      <c r="I16" s="427">
        <f>'F 3'!E18</f>
        <v>1.153846153846154</v>
      </c>
      <c r="J16" s="427">
        <f t="shared" si="1"/>
        <v>0</v>
      </c>
      <c r="K16" s="427">
        <f>'F 3'!F18</f>
        <v>1</v>
      </c>
    </row>
    <row r="17" spans="1:11" ht="15.75" thickBot="1">
      <c r="A17" s="425">
        <f>'F5'!A15</f>
        <v>6</v>
      </c>
      <c r="B17" s="426" t="str">
        <f>'F5'!B15</f>
        <v>2.3</v>
      </c>
      <c r="C17" s="123"/>
      <c r="D17" s="123"/>
      <c r="E17" s="123">
        <f t="shared" si="0"/>
        <v>0</v>
      </c>
      <c r="F17" s="279">
        <f>'F5'!D15</f>
        <v>0</v>
      </c>
      <c r="G17" s="406"/>
      <c r="H17" s="98"/>
      <c r="I17" s="427">
        <f>'F 3'!E19</f>
        <v>2.307692307692308</v>
      </c>
      <c r="J17" s="427">
        <f t="shared" si="1"/>
        <v>0</v>
      </c>
      <c r="K17" s="427">
        <f>'F 3'!F19</f>
        <v>1</v>
      </c>
    </row>
    <row r="18" spans="1:11" ht="15.75" thickBot="1">
      <c r="A18" s="425">
        <f>'F5'!A16</f>
        <v>7</v>
      </c>
      <c r="B18" s="426" t="str">
        <f>'F5'!B16</f>
        <v>2.4</v>
      </c>
      <c r="C18" s="123"/>
      <c r="D18" s="123"/>
      <c r="E18" s="123">
        <f t="shared" si="0"/>
        <v>0</v>
      </c>
      <c r="F18" s="279">
        <f>'F5'!D16</f>
        <v>0</v>
      </c>
      <c r="G18" s="406"/>
      <c r="H18" s="98"/>
      <c r="I18" s="427">
        <f>'F 3'!E20</f>
        <v>2.307692307692308</v>
      </c>
      <c r="J18" s="427">
        <f t="shared" si="1"/>
        <v>0</v>
      </c>
      <c r="K18" s="427">
        <f>'F 3'!F20</f>
        <v>0</v>
      </c>
    </row>
    <row r="19" spans="1:11" ht="15.75" thickBot="1">
      <c r="A19" s="425">
        <f>'F5'!A17</f>
        <v>8</v>
      </c>
      <c r="B19" s="426" t="str">
        <f>'F5'!B17</f>
        <v>2.5.1</v>
      </c>
      <c r="C19" s="123"/>
      <c r="D19" s="123"/>
      <c r="E19" s="123">
        <f t="shared" si="0"/>
        <v>0</v>
      </c>
      <c r="F19" s="279">
        <f>'F5'!D17</f>
        <v>0</v>
      </c>
      <c r="G19" s="406"/>
      <c r="H19" s="98"/>
      <c r="I19" s="427">
        <f>'F 3'!E21</f>
        <v>3.4615384615384617</v>
      </c>
      <c r="J19" s="427">
        <f t="shared" si="1"/>
        <v>0</v>
      </c>
      <c r="K19" s="427">
        <f>'F 3'!F21</f>
        <v>0</v>
      </c>
    </row>
    <row r="20" spans="1:11" ht="15.75" thickBot="1">
      <c r="A20" s="425">
        <f>'F5'!A18</f>
        <v>9</v>
      </c>
      <c r="B20" s="426" t="str">
        <f>'F5'!B18</f>
        <v>2.5.2</v>
      </c>
      <c r="C20" s="123"/>
      <c r="D20" s="123"/>
      <c r="E20" s="123">
        <f t="shared" si="0"/>
        <v>0</v>
      </c>
      <c r="F20" s="279">
        <f>'F5'!D18</f>
        <v>0</v>
      </c>
      <c r="G20" s="406"/>
      <c r="H20" s="98"/>
      <c r="I20" s="427">
        <f>'F 3'!E22</f>
        <v>3.4615384615384617</v>
      </c>
      <c r="J20" s="427">
        <f t="shared" si="1"/>
        <v>0</v>
      </c>
      <c r="K20" s="427">
        <f>'F 3'!F22</f>
        <v>0</v>
      </c>
    </row>
    <row r="21" spans="1:11" ht="15.75" thickBot="1">
      <c r="A21" s="425">
        <f>'F5'!A19</f>
        <v>10</v>
      </c>
      <c r="B21" s="426" t="str">
        <f>'F5'!B19</f>
        <v>3.1.1</v>
      </c>
      <c r="C21" s="123"/>
      <c r="D21" s="123"/>
      <c r="E21" s="123">
        <f t="shared" si="0"/>
        <v>0</v>
      </c>
      <c r="F21" s="279">
        <f>'F5'!D19</f>
        <v>0</v>
      </c>
      <c r="G21" s="406"/>
      <c r="H21" s="98"/>
      <c r="I21" s="427">
        <f>'F 3'!E23</f>
        <v>2.6666666666666665</v>
      </c>
      <c r="J21" s="427">
        <f t="shared" si="1"/>
        <v>0</v>
      </c>
      <c r="K21" s="427">
        <f>'F 3'!F23</f>
        <v>0</v>
      </c>
    </row>
    <row r="22" spans="1:11" ht="15.75" thickBot="1">
      <c r="A22" s="425">
        <f>'F5'!A20</f>
        <v>11</v>
      </c>
      <c r="B22" s="426" t="str">
        <f>'F5'!B20</f>
        <v>3.1.2</v>
      </c>
      <c r="C22" s="123"/>
      <c r="D22" s="123"/>
      <c r="E22" s="123">
        <f t="shared" si="0"/>
        <v>0</v>
      </c>
      <c r="F22" s="279">
        <f>'F5'!D20</f>
        <v>0</v>
      </c>
      <c r="G22" s="406"/>
      <c r="H22" s="98"/>
      <c r="I22" s="427">
        <f>'F 3'!E24</f>
        <v>2.6666666666666665</v>
      </c>
      <c r="J22" s="427">
        <f t="shared" si="1"/>
        <v>0</v>
      </c>
      <c r="K22" s="427">
        <f>'F 3'!F24</f>
        <v>1</v>
      </c>
    </row>
    <row r="23" spans="1:11" ht="15.75" thickBot="1">
      <c r="A23" s="425">
        <f>'F5'!A21</f>
        <v>12</v>
      </c>
      <c r="B23" s="426" t="str">
        <f>'F5'!B21</f>
        <v>3.1.3</v>
      </c>
      <c r="C23" s="123"/>
      <c r="D23" s="123"/>
      <c r="E23" s="123">
        <f t="shared" si="0"/>
        <v>0</v>
      </c>
      <c r="F23" s="279">
        <f>'F5'!D21</f>
        <v>0</v>
      </c>
      <c r="G23" s="406"/>
      <c r="H23" s="98"/>
      <c r="I23" s="427">
        <f>'F 3'!E25</f>
        <v>2.6666666666666665</v>
      </c>
      <c r="J23" s="427">
        <f t="shared" si="1"/>
        <v>0</v>
      </c>
      <c r="K23" s="427">
        <f>'F 3'!F25</f>
        <v>1</v>
      </c>
    </row>
    <row r="24" spans="1:11" ht="15.75" thickBot="1">
      <c r="A24" s="425">
        <f>'F5'!A22</f>
        <v>13</v>
      </c>
      <c r="B24" s="426" t="str">
        <f>'F5'!B22</f>
        <v>3.2.1.1</v>
      </c>
      <c r="C24" s="123"/>
      <c r="D24" s="123"/>
      <c r="E24" s="123">
        <f t="shared" si="0"/>
        <v>0</v>
      </c>
      <c r="F24" s="279">
        <f>'F5'!D22</f>
        <v>0</v>
      </c>
      <c r="G24" s="406"/>
      <c r="H24" s="98"/>
      <c r="I24" s="427">
        <f>'F 3'!E26</f>
        <v>2.6666666666666665</v>
      </c>
      <c r="J24" s="427">
        <f t="shared" si="1"/>
        <v>0</v>
      </c>
      <c r="K24" s="427">
        <f>'F 3'!F26</f>
        <v>1</v>
      </c>
    </row>
    <row r="25" spans="1:11" ht="15.75" thickBot="1">
      <c r="A25" s="425">
        <f>'F5'!A23</f>
        <v>14</v>
      </c>
      <c r="B25" s="426" t="str">
        <f>'F5'!B23</f>
        <v>3.2.1.2</v>
      </c>
      <c r="C25" s="123"/>
      <c r="D25" s="123"/>
      <c r="E25" s="123">
        <f t="shared" si="0"/>
        <v>0</v>
      </c>
      <c r="F25" s="279">
        <f>'F5'!D23</f>
        <v>0</v>
      </c>
      <c r="G25" s="406"/>
      <c r="H25" s="98"/>
      <c r="I25" s="427">
        <f>'F 3'!E27</f>
        <v>2.6666666666666665</v>
      </c>
      <c r="J25" s="427">
        <f t="shared" si="1"/>
        <v>0</v>
      </c>
      <c r="K25" s="427">
        <f>'F 3'!F27</f>
        <v>1</v>
      </c>
    </row>
    <row r="26" spans="1:11" ht="15.75" thickBot="1">
      <c r="A26" s="425">
        <f>'F5'!A24</f>
        <v>15</v>
      </c>
      <c r="B26" s="426" t="str">
        <f>'F5'!B24</f>
        <v>3.2.2</v>
      </c>
      <c r="C26" s="123"/>
      <c r="D26" s="123"/>
      <c r="E26" s="123">
        <f t="shared" si="0"/>
        <v>0</v>
      </c>
      <c r="F26" s="279">
        <f>'F5'!D24</f>
        <v>0</v>
      </c>
      <c r="G26" s="406"/>
      <c r="H26" s="98"/>
      <c r="I26" s="427">
        <f>'F 3'!E28</f>
        <v>2.6666666666666665</v>
      </c>
      <c r="J26" s="427">
        <f t="shared" si="1"/>
        <v>0</v>
      </c>
      <c r="K26" s="427">
        <f>'F 3'!F28</f>
        <v>2</v>
      </c>
    </row>
    <row r="27" spans="1:11" ht="15.75" thickBot="1">
      <c r="A27" s="425">
        <f>'F5'!A25</f>
        <v>16</v>
      </c>
      <c r="B27" s="426" t="str">
        <f>'F5'!B25</f>
        <v>4.1.1</v>
      </c>
      <c r="C27" s="123"/>
      <c r="D27" s="123"/>
      <c r="E27" s="123">
        <f t="shared" si="0"/>
        <v>0</v>
      </c>
      <c r="F27" s="279">
        <f>'F5'!D25</f>
        <v>0</v>
      </c>
      <c r="G27" s="406"/>
      <c r="H27" s="98"/>
      <c r="I27" s="427">
        <f>'F 3'!E29</f>
        <v>6.909090909090909</v>
      </c>
      <c r="J27" s="427">
        <f t="shared" si="1"/>
        <v>0</v>
      </c>
      <c r="K27" s="427">
        <f>'F 3'!F29</f>
        <v>2</v>
      </c>
    </row>
    <row r="28" spans="1:11" ht="15.75" thickBot="1">
      <c r="A28" s="425">
        <f>'F5'!A26</f>
        <v>17</v>
      </c>
      <c r="B28" s="426" t="str">
        <f>'F5'!B26</f>
        <v>4.1.2</v>
      </c>
      <c r="C28" s="123"/>
      <c r="D28" s="123"/>
      <c r="E28" s="123">
        <f t="shared" si="0"/>
        <v>0</v>
      </c>
      <c r="F28" s="279">
        <f>'F5'!D26</f>
        <v>0</v>
      </c>
      <c r="G28" s="406"/>
      <c r="H28" s="98"/>
      <c r="I28" s="427">
        <f>'F 3'!E30</f>
        <v>3.4545454545454546</v>
      </c>
      <c r="J28" s="427">
        <f t="shared" si="1"/>
        <v>0</v>
      </c>
      <c r="K28" s="427">
        <f>'F 3'!F30</f>
        <v>3.125</v>
      </c>
    </row>
    <row r="29" spans="1:11" ht="15.75" thickBot="1">
      <c r="A29" s="425">
        <f>'F5'!A27</f>
        <v>18</v>
      </c>
      <c r="B29" s="426" t="str">
        <f>'F5'!B27</f>
        <v>4.1.3</v>
      </c>
      <c r="C29" s="123"/>
      <c r="D29" s="123"/>
      <c r="E29" s="123">
        <f t="shared" si="0"/>
        <v>0</v>
      </c>
      <c r="F29" s="279">
        <f>'F5'!D27</f>
        <v>0</v>
      </c>
      <c r="G29" s="406"/>
      <c r="H29" s="98"/>
      <c r="I29" s="427">
        <f>'F 3'!E31</f>
        <v>3.4545454545454546</v>
      </c>
      <c r="J29" s="427">
        <f t="shared" si="1"/>
        <v>0</v>
      </c>
      <c r="K29" s="427">
        <f>'F 3'!F31</f>
        <v>2</v>
      </c>
    </row>
    <row r="30" spans="1:11" ht="15.75" thickBot="1">
      <c r="A30" s="425">
        <f>'F5'!A28</f>
        <v>19</v>
      </c>
      <c r="B30" s="426" t="str">
        <f>'F5'!B28</f>
        <v>4.2</v>
      </c>
      <c r="C30" s="123"/>
      <c r="D30" s="123"/>
      <c r="E30" s="123">
        <f t="shared" si="0"/>
        <v>0</v>
      </c>
      <c r="F30" s="279">
        <f>'F5'!D28</f>
        <v>0</v>
      </c>
      <c r="G30" s="406"/>
      <c r="H30" s="98"/>
      <c r="I30" s="427">
        <f>'F 3'!E32</f>
        <v>5.181818181818182</v>
      </c>
      <c r="J30" s="427">
        <f t="shared" si="1"/>
        <v>0</v>
      </c>
      <c r="K30" s="427">
        <f>'F 3'!F32</f>
        <v>1</v>
      </c>
    </row>
    <row r="31" spans="1:11" ht="15.75" thickBot="1">
      <c r="A31" s="425">
        <f>'F5'!A29</f>
        <v>20</v>
      </c>
      <c r="B31" s="426" t="str">
        <f>'F5'!B29</f>
        <v>5.1</v>
      </c>
      <c r="C31" s="123"/>
      <c r="D31" s="123"/>
      <c r="E31" s="123">
        <f t="shared" si="0"/>
        <v>0</v>
      </c>
      <c r="F31" s="279">
        <f>'F5'!D29</f>
        <v>0</v>
      </c>
      <c r="G31" s="406"/>
      <c r="H31" s="98"/>
      <c r="I31" s="427">
        <f>'F 3'!E33</f>
        <v>1.6666666666666665</v>
      </c>
      <c r="J31" s="427">
        <f t="shared" si="1"/>
        <v>0</v>
      </c>
      <c r="K31" s="427">
        <f>'F 3'!F33</f>
        <v>1</v>
      </c>
    </row>
    <row r="32" spans="1:11" ht="15.75" thickBot="1">
      <c r="A32" s="425">
        <f>'F5'!A30</f>
        <v>21</v>
      </c>
      <c r="B32" s="426" t="str">
        <f>'F5'!B30</f>
        <v>5.2</v>
      </c>
      <c r="C32" s="123"/>
      <c r="D32" s="123"/>
      <c r="E32" s="123">
        <f t="shared" si="0"/>
        <v>0</v>
      </c>
      <c r="F32" s="279">
        <f>'F5'!D30</f>
        <v>0</v>
      </c>
      <c r="G32" s="406"/>
      <c r="H32" s="98"/>
      <c r="I32" s="427">
        <f>'F 3'!E34</f>
        <v>1.6666666666666665</v>
      </c>
      <c r="J32" s="427">
        <f t="shared" si="1"/>
        <v>0</v>
      </c>
      <c r="K32" s="427">
        <f>'F 3'!F34</f>
        <v>3</v>
      </c>
    </row>
    <row r="33" spans="1:11" ht="15.75" thickBot="1">
      <c r="A33" s="425">
        <f>'F5'!A31</f>
        <v>22</v>
      </c>
      <c r="B33" s="426" t="str">
        <f>'F5'!B31</f>
        <v>5.3</v>
      </c>
      <c r="C33" s="123"/>
      <c r="D33" s="123"/>
      <c r="E33" s="123">
        <f t="shared" si="0"/>
        <v>0</v>
      </c>
      <c r="F33" s="279">
        <f>'F5'!D31</f>
        <v>0</v>
      </c>
      <c r="G33" s="406"/>
      <c r="H33" s="98"/>
      <c r="I33" s="427">
        <f>'F 3'!E35</f>
        <v>1.6666666666666665</v>
      </c>
      <c r="J33" s="427">
        <f t="shared" si="1"/>
        <v>0</v>
      </c>
      <c r="K33" s="427">
        <f>'F 3'!F35</f>
        <v>2.75</v>
      </c>
    </row>
    <row r="34" spans="1:11" ht="15.75" thickBot="1">
      <c r="A34" s="425">
        <f>'F5'!A32</f>
        <v>23</v>
      </c>
      <c r="B34" s="426" t="str">
        <f>'F5'!B32</f>
        <v>6.1.1.1</v>
      </c>
      <c r="C34" s="123"/>
      <c r="D34" s="123"/>
      <c r="E34" s="123">
        <f t="shared" si="0"/>
        <v>0</v>
      </c>
      <c r="F34" s="279">
        <f>'F5'!D32</f>
        <v>0</v>
      </c>
      <c r="G34" s="406"/>
      <c r="H34" s="98"/>
      <c r="I34" s="427">
        <f>'F 3'!E36</f>
        <v>1.8620689655172413</v>
      </c>
      <c r="J34" s="427">
        <f t="shared" si="1"/>
        <v>0</v>
      </c>
      <c r="K34" s="427">
        <f>'F 3'!F36</f>
        <v>0</v>
      </c>
    </row>
    <row r="35" spans="1:11" ht="15.75" thickBot="1">
      <c r="A35" s="425">
        <f>'F5'!A33</f>
        <v>24</v>
      </c>
      <c r="B35" s="426" t="str">
        <f>'F5'!B33</f>
        <v>6.1.1.2</v>
      </c>
      <c r="C35" s="123"/>
      <c r="D35" s="123"/>
      <c r="E35" s="123">
        <f t="shared" si="0"/>
        <v>0</v>
      </c>
      <c r="F35" s="279">
        <f>'F5'!D33</f>
        <v>0</v>
      </c>
      <c r="G35" s="406"/>
      <c r="H35" s="98"/>
      <c r="I35" s="427">
        <f>'F 3'!E37</f>
        <v>2.793103448275862</v>
      </c>
      <c r="J35" s="427">
        <f t="shared" si="1"/>
        <v>0</v>
      </c>
      <c r="K35" s="427">
        <f>'F 3'!F37</f>
        <v>0</v>
      </c>
    </row>
    <row r="36" spans="1:11" ht="15.75" thickBot="1">
      <c r="A36" s="425">
        <f>'F5'!A34</f>
        <v>25</v>
      </c>
      <c r="B36" s="426" t="str">
        <f>'F5'!B34</f>
        <v>6.1.1.3</v>
      </c>
      <c r="C36" s="123"/>
      <c r="D36" s="123"/>
      <c r="E36" s="123">
        <f t="shared" si="0"/>
        <v>0</v>
      </c>
      <c r="F36" s="279">
        <f>'F5'!D34</f>
        <v>0</v>
      </c>
      <c r="G36" s="406"/>
      <c r="H36" s="98"/>
      <c r="I36" s="427">
        <f>'F 3'!E38</f>
        <v>1.8620689655172413</v>
      </c>
      <c r="J36" s="427">
        <f t="shared" si="1"/>
        <v>0</v>
      </c>
      <c r="K36" s="427">
        <f>'F 3'!F38</f>
        <v>4</v>
      </c>
    </row>
    <row r="37" spans="1:11" ht="15.75" thickBot="1">
      <c r="A37" s="425">
        <f>'F5'!A35</f>
        <v>26</v>
      </c>
      <c r="B37" s="426" t="str">
        <f>'F5'!B35</f>
        <v>6.1.1.4</v>
      </c>
      <c r="C37" s="123"/>
      <c r="D37" s="123"/>
      <c r="E37" s="123">
        <f t="shared" si="0"/>
        <v>0</v>
      </c>
      <c r="F37" s="279">
        <f>'F5'!D35</f>
        <v>0</v>
      </c>
      <c r="G37" s="406"/>
      <c r="H37" s="98"/>
      <c r="I37" s="427">
        <f>'F 3'!E39</f>
        <v>1.8620689655172413</v>
      </c>
      <c r="J37" s="427">
        <f t="shared" si="1"/>
        <v>0</v>
      </c>
      <c r="K37" s="427">
        <f>'F 3'!F39</f>
        <v>0</v>
      </c>
    </row>
    <row r="38" spans="1:11" ht="15.75" thickBot="1">
      <c r="A38" s="425">
        <f>'F5'!A36</f>
        <v>27</v>
      </c>
      <c r="B38" s="426" t="str">
        <f>'F5'!B36</f>
        <v>6.1.2.1</v>
      </c>
      <c r="C38" s="123"/>
      <c r="D38" s="123"/>
      <c r="E38" s="123">
        <f t="shared" si="0"/>
        <v>0</v>
      </c>
      <c r="F38" s="279">
        <f>'F5'!D36</f>
        <v>0</v>
      </c>
      <c r="G38" s="406"/>
      <c r="H38" s="98"/>
      <c r="I38" s="427">
        <f>'F 3'!E40</f>
        <v>0.9310344827586207</v>
      </c>
      <c r="J38" s="427">
        <f t="shared" si="1"/>
        <v>0</v>
      </c>
      <c r="K38" s="427">
        <f>'F 3'!F40</f>
        <v>1</v>
      </c>
    </row>
    <row r="39" spans="1:11" ht="15.75" thickBot="1">
      <c r="A39" s="425">
        <f>'F5'!A37</f>
        <v>28</v>
      </c>
      <c r="B39" s="426" t="str">
        <f>'F5'!B37</f>
        <v>6.1.2.2</v>
      </c>
      <c r="C39" s="123"/>
      <c r="D39" s="123"/>
      <c r="E39" s="123">
        <f t="shared" si="0"/>
        <v>0</v>
      </c>
      <c r="F39" s="279">
        <f>'F5'!D37</f>
        <v>0</v>
      </c>
      <c r="G39" s="406"/>
      <c r="H39" s="98"/>
      <c r="I39" s="427">
        <f>'F 3'!E41</f>
        <v>1.8620689655172413</v>
      </c>
      <c r="J39" s="427">
        <f t="shared" si="1"/>
        <v>0</v>
      </c>
      <c r="K39" s="427">
        <f>'F 3'!F41</f>
        <v>2</v>
      </c>
    </row>
    <row r="40" spans="1:11" ht="15.75" thickBot="1">
      <c r="A40" s="425">
        <f>'F5'!A38</f>
        <v>29</v>
      </c>
      <c r="B40" s="426" t="str">
        <f>'F5'!B38</f>
        <v>6.2.1</v>
      </c>
      <c r="C40" s="123"/>
      <c r="D40" s="123"/>
      <c r="E40" s="123">
        <f t="shared" si="0"/>
        <v>0</v>
      </c>
      <c r="F40" s="279">
        <f>'F5'!D38</f>
        <v>0</v>
      </c>
      <c r="G40" s="406"/>
      <c r="H40" s="98"/>
      <c r="I40" s="427">
        <f>'F 3'!E42</f>
        <v>1.8620689655172413</v>
      </c>
      <c r="J40" s="427">
        <f t="shared" si="1"/>
        <v>0</v>
      </c>
      <c r="K40" s="427">
        <f>'F 3'!F42</f>
        <v>3</v>
      </c>
    </row>
    <row r="41" spans="1:11" ht="15.75" thickBot="1">
      <c r="A41" s="425">
        <f>'F5'!A39</f>
        <v>30</v>
      </c>
      <c r="B41" s="426" t="str">
        <f>'F5'!B39</f>
        <v>6.2.2</v>
      </c>
      <c r="C41" s="123"/>
      <c r="D41" s="123"/>
      <c r="E41" s="123">
        <f t="shared" si="0"/>
        <v>0</v>
      </c>
      <c r="F41" s="279">
        <f>'F5'!D39</f>
        <v>0</v>
      </c>
      <c r="G41" s="406"/>
      <c r="H41" s="98"/>
      <c r="I41" s="427">
        <f>'F 3'!E43</f>
        <v>0.9310344827586207</v>
      </c>
      <c r="J41" s="427">
        <f t="shared" si="1"/>
        <v>0</v>
      </c>
      <c r="K41" s="427">
        <f>'F 3'!F43</f>
        <v>2</v>
      </c>
    </row>
    <row r="42" spans="1:11" ht="15.75" thickBot="1">
      <c r="A42" s="425">
        <f>'F5'!A40</f>
        <v>31</v>
      </c>
      <c r="B42" s="426" t="str">
        <f>'F5'!B40</f>
        <v>6.3.1</v>
      </c>
      <c r="C42" s="123"/>
      <c r="D42" s="123"/>
      <c r="E42" s="123">
        <f t="shared" si="0"/>
        <v>0</v>
      </c>
      <c r="F42" s="279">
        <f>'F5'!D40</f>
        <v>0</v>
      </c>
      <c r="G42" s="406"/>
      <c r="H42" s="98"/>
      <c r="I42" s="427">
        <f>'F 3'!E44</f>
        <v>2.793103448275862</v>
      </c>
      <c r="J42" s="427">
        <f t="shared" si="1"/>
        <v>0</v>
      </c>
      <c r="K42" s="427">
        <f>'F 3'!F44</f>
        <v>1</v>
      </c>
    </row>
    <row r="43" spans="1:11" ht="15.75" thickBot="1">
      <c r="A43" s="425">
        <f>'F5'!A41</f>
        <v>32</v>
      </c>
      <c r="B43" s="426" t="str">
        <f>'F5'!B41</f>
        <v>6.3.2</v>
      </c>
      <c r="C43" s="123"/>
      <c r="D43" s="123"/>
      <c r="E43" s="123">
        <f t="shared" si="0"/>
        <v>0</v>
      </c>
      <c r="F43" s="279">
        <f>'F5'!D41</f>
        <v>0</v>
      </c>
      <c r="G43" s="406"/>
      <c r="H43" s="98"/>
      <c r="I43" s="427">
        <f>'F 3'!E45</f>
        <v>0.9310344827586207</v>
      </c>
      <c r="J43" s="427">
        <f t="shared" si="1"/>
        <v>0</v>
      </c>
      <c r="K43" s="427">
        <f>'F 3'!F45</f>
        <v>1</v>
      </c>
    </row>
    <row r="44" spans="1:11" ht="15.75" thickBot="1">
      <c r="A44" s="425">
        <f>'F5'!A42</f>
        <v>33</v>
      </c>
      <c r="B44" s="426" t="str">
        <f>'F5'!B42</f>
        <v>6.4.1.1</v>
      </c>
      <c r="C44" s="123"/>
      <c r="D44" s="123"/>
      <c r="E44" s="123">
        <f t="shared" si="0"/>
        <v>0</v>
      </c>
      <c r="F44" s="279">
        <f>'F5'!D42</f>
        <v>0</v>
      </c>
      <c r="G44" s="406"/>
      <c r="H44" s="98"/>
      <c r="I44" s="427">
        <f>'F 3'!E46</f>
        <v>1.8620689655172413</v>
      </c>
      <c r="J44" s="427">
        <f t="shared" si="1"/>
        <v>0</v>
      </c>
      <c r="K44" s="427">
        <f>'F 3'!F46</f>
        <v>1</v>
      </c>
    </row>
    <row r="45" spans="1:11" ht="15.75" thickBot="1">
      <c r="A45" s="425">
        <f>'F5'!A43</f>
        <v>34</v>
      </c>
      <c r="B45" s="426" t="str">
        <f>'F5'!B43</f>
        <v>6.4.1.2</v>
      </c>
      <c r="C45" s="123"/>
      <c r="D45" s="123"/>
      <c r="E45" s="123">
        <f t="shared" si="0"/>
        <v>0</v>
      </c>
      <c r="F45" s="279">
        <f>'F5'!D43</f>
        <v>0</v>
      </c>
      <c r="G45" s="406"/>
      <c r="H45" s="98"/>
      <c r="I45" s="427">
        <f>'F 3'!E47</f>
        <v>1.8620689655172413</v>
      </c>
      <c r="J45" s="427">
        <f t="shared" si="1"/>
        <v>0</v>
      </c>
      <c r="K45" s="427">
        <f>'F 3'!F47</f>
        <v>1</v>
      </c>
    </row>
    <row r="46" spans="1:11" ht="15.75" thickBot="1">
      <c r="A46" s="425">
        <f>'F5'!A44</f>
        <v>35</v>
      </c>
      <c r="B46" s="426" t="str">
        <f>'F5'!B44</f>
        <v>6.4.1.3</v>
      </c>
      <c r="C46" s="123"/>
      <c r="D46" s="123"/>
      <c r="E46" s="123">
        <f t="shared" si="0"/>
        <v>0</v>
      </c>
      <c r="F46" s="279">
        <f>'F5'!D44</f>
        <v>0</v>
      </c>
      <c r="G46" s="406"/>
      <c r="H46" s="98"/>
      <c r="I46" s="427">
        <f>'F 3'!E48</f>
        <v>0.9310344827586207</v>
      </c>
      <c r="J46" s="427">
        <f t="shared" si="1"/>
        <v>0</v>
      </c>
      <c r="K46" s="427">
        <f>'F 3'!F48</f>
        <v>4</v>
      </c>
    </row>
    <row r="47" spans="1:11" ht="15.75" thickBot="1">
      <c r="A47" s="425">
        <f>'F5'!A45</f>
        <v>36</v>
      </c>
      <c r="B47" s="426" t="str">
        <f>'F5'!B45</f>
        <v>6.4.2</v>
      </c>
      <c r="C47" s="123"/>
      <c r="D47" s="123"/>
      <c r="E47" s="123">
        <f t="shared" si="0"/>
        <v>0</v>
      </c>
      <c r="F47" s="279">
        <f>'F5'!D45</f>
        <v>0</v>
      </c>
      <c r="G47" s="406"/>
      <c r="H47" s="98"/>
      <c r="I47" s="427">
        <f>'F 3'!E49</f>
        <v>1.8620689655172413</v>
      </c>
      <c r="J47" s="427">
        <f t="shared" si="1"/>
        <v>0</v>
      </c>
      <c r="K47" s="427">
        <f>'F 3'!F49</f>
        <v>1.9166666666666667</v>
      </c>
    </row>
    <row r="48" spans="1:11" ht="15.75" thickBot="1">
      <c r="A48" s="425">
        <f>'F5'!A46</f>
        <v>37</v>
      </c>
      <c r="B48" s="426" t="str">
        <f>'F5'!B46</f>
        <v>6.4.3</v>
      </c>
      <c r="C48" s="123"/>
      <c r="D48" s="123"/>
      <c r="E48" s="123">
        <f t="shared" si="0"/>
        <v>0</v>
      </c>
      <c r="F48" s="279">
        <f>'F5'!D46</f>
        <v>0</v>
      </c>
      <c r="G48" s="406"/>
      <c r="H48" s="98"/>
      <c r="I48" s="427">
        <f>'F 3'!E50</f>
        <v>1.8620689655172413</v>
      </c>
      <c r="J48" s="427">
        <f t="shared" si="1"/>
        <v>0</v>
      </c>
      <c r="K48" s="427">
        <f>'F 3'!F50</f>
        <v>1</v>
      </c>
    </row>
    <row r="49" spans="1:11" ht="15.75" thickBot="1">
      <c r="A49" s="425">
        <f>'F5'!A47</f>
        <v>38</v>
      </c>
      <c r="B49" s="426" t="str">
        <f>'F5'!B47</f>
        <v>6.4.4</v>
      </c>
      <c r="C49" s="123"/>
      <c r="D49" s="123"/>
      <c r="E49" s="123">
        <f t="shared" si="0"/>
        <v>0</v>
      </c>
      <c r="F49" s="279">
        <f>'F5'!D47</f>
        <v>0</v>
      </c>
      <c r="G49" s="406"/>
      <c r="H49" s="98"/>
      <c r="I49" s="427">
        <f>'F 3'!E51</f>
        <v>0.9310344827586207</v>
      </c>
      <c r="J49" s="427">
        <f t="shared" si="1"/>
        <v>0</v>
      </c>
      <c r="K49" s="427">
        <f>'F 3'!F51</f>
        <v>3</v>
      </c>
    </row>
    <row r="50" spans="1:11" ht="15.75" thickBot="1">
      <c r="A50" s="425">
        <f>'F5'!A48</f>
        <v>39</v>
      </c>
      <c r="B50" s="426" t="str">
        <f>'F5'!B48</f>
        <v>7.1.1.1</v>
      </c>
      <c r="C50" s="123"/>
      <c r="D50" s="123"/>
      <c r="E50" s="123">
        <f t="shared" si="0"/>
        <v>0</v>
      </c>
      <c r="F50" s="279">
        <f>'F5'!D48</f>
        <v>0</v>
      </c>
      <c r="G50" s="406"/>
      <c r="H50" s="98"/>
      <c r="I50" s="427">
        <f>'F 3'!E52</f>
        <v>1.6</v>
      </c>
      <c r="J50" s="427">
        <f t="shared" si="1"/>
        <v>0</v>
      </c>
      <c r="K50" s="427">
        <f>'F 3'!F52</f>
        <v>1</v>
      </c>
    </row>
    <row r="51" spans="1:11" ht="15.75" thickBot="1">
      <c r="A51" s="425">
        <f>'F5'!A49</f>
        <v>40</v>
      </c>
      <c r="B51" s="426" t="str">
        <f>'F5'!B49</f>
        <v>7.1.1.2</v>
      </c>
      <c r="C51" s="123"/>
      <c r="D51" s="123"/>
      <c r="E51" s="123">
        <f t="shared" si="0"/>
        <v>0</v>
      </c>
      <c r="F51" s="279">
        <f>'F5'!D49</f>
        <v>0</v>
      </c>
      <c r="G51" s="406"/>
      <c r="H51" s="98"/>
      <c r="I51" s="427">
        <f>'F 3'!E53</f>
        <v>1.6</v>
      </c>
      <c r="J51" s="427">
        <f t="shared" si="1"/>
        <v>0</v>
      </c>
      <c r="K51" s="427">
        <f>'F 3'!F53</f>
        <v>1</v>
      </c>
    </row>
    <row r="52" spans="1:11" ht="15.75" thickBot="1">
      <c r="A52" s="425">
        <f>'F5'!A50</f>
        <v>41</v>
      </c>
      <c r="B52" s="426" t="str">
        <f>'F5'!B50</f>
        <v>7.1.2</v>
      </c>
      <c r="C52" s="123"/>
      <c r="D52" s="123"/>
      <c r="E52" s="123">
        <f t="shared" si="0"/>
        <v>0</v>
      </c>
      <c r="F52" s="279">
        <f>'F5'!D50</f>
        <v>0</v>
      </c>
      <c r="G52" s="406"/>
      <c r="H52" s="98"/>
      <c r="I52" s="427">
        <f>'F 3'!E54</f>
        <v>0.8</v>
      </c>
      <c r="J52" s="427">
        <f t="shared" si="1"/>
        <v>0</v>
      </c>
      <c r="K52" s="427">
        <f>'F 3'!F54</f>
        <v>2</v>
      </c>
    </row>
    <row r="53" spans="1:11" ht="15.75" thickBot="1">
      <c r="A53" s="425">
        <f>'F5'!A51</f>
        <v>42</v>
      </c>
      <c r="B53" s="426" t="str">
        <f>'F5'!B51</f>
        <v>7.2.1.1</v>
      </c>
      <c r="C53" s="123"/>
      <c r="D53" s="123"/>
      <c r="E53" s="123">
        <f t="shared" si="0"/>
        <v>0</v>
      </c>
      <c r="F53" s="279">
        <f>'F5'!D51</f>
        <v>0</v>
      </c>
      <c r="G53" s="406"/>
      <c r="H53" s="98"/>
      <c r="I53" s="427">
        <f>'F 3'!E55</f>
        <v>2.4000000000000004</v>
      </c>
      <c r="J53" s="427">
        <f t="shared" si="1"/>
        <v>0</v>
      </c>
      <c r="K53" s="427">
        <f>'F 3'!F55</f>
        <v>1</v>
      </c>
    </row>
    <row r="54" spans="1:11" ht="15.75" thickBot="1">
      <c r="A54" s="425">
        <f>'F5'!A52</f>
        <v>43</v>
      </c>
      <c r="B54" s="426" t="str">
        <f>'F5'!B52</f>
        <v>7.2.1.2</v>
      </c>
      <c r="C54" s="123"/>
      <c r="D54" s="123"/>
      <c r="E54" s="123">
        <f t="shared" si="0"/>
        <v>0</v>
      </c>
      <c r="F54" s="279">
        <f>'F5'!D52</f>
        <v>0</v>
      </c>
      <c r="G54" s="406"/>
      <c r="H54" s="98"/>
      <c r="I54" s="427">
        <f>'F 3'!E56</f>
        <v>1.6</v>
      </c>
      <c r="J54" s="427">
        <f t="shared" si="1"/>
        <v>0</v>
      </c>
      <c r="K54" s="427">
        <f>'F 3'!F56</f>
        <v>1</v>
      </c>
    </row>
    <row r="55" spans="1:11" ht="15.75" thickBot="1">
      <c r="A55" s="425">
        <f>'F5'!A53</f>
        <v>44</v>
      </c>
      <c r="B55" s="426" t="str">
        <f>'F5'!B53</f>
        <v>7.2.2</v>
      </c>
      <c r="C55" s="123"/>
      <c r="D55" s="123"/>
      <c r="E55" s="123">
        <f t="shared" si="0"/>
        <v>0</v>
      </c>
      <c r="F55" s="279">
        <f>'F5'!D53</f>
        <v>0</v>
      </c>
      <c r="G55" s="406"/>
      <c r="H55" s="98"/>
      <c r="I55" s="427">
        <f>'F 3'!E57</f>
        <v>1.6</v>
      </c>
      <c r="J55" s="427">
        <f t="shared" si="1"/>
        <v>0</v>
      </c>
      <c r="K55" s="427">
        <f>'F 3'!F57</f>
        <v>2</v>
      </c>
    </row>
    <row r="56" spans="1:11" s="29" customFormat="1" ht="15.75" thickBot="1">
      <c r="A56" s="425">
        <f>'F5'!A54</f>
        <v>45</v>
      </c>
      <c r="B56" s="426" t="str">
        <f>'F5'!B54</f>
        <v>7.3.1</v>
      </c>
      <c r="C56" s="123"/>
      <c r="D56" s="123"/>
      <c r="E56" s="123">
        <f>(C56+D56)/2</f>
        <v>0</v>
      </c>
      <c r="F56" s="279">
        <f>'F5'!D54</f>
        <v>0</v>
      </c>
      <c r="G56" s="406"/>
      <c r="H56" s="98"/>
      <c r="I56" s="427">
        <f>'F 3'!E58</f>
        <v>1.6</v>
      </c>
      <c r="J56" s="427">
        <f t="shared" si="1"/>
        <v>0</v>
      </c>
      <c r="K56" s="427">
        <f>'F 3'!F58</f>
        <v>3</v>
      </c>
    </row>
    <row r="57" spans="1:11" s="29" customFormat="1" ht="15.75" thickBot="1">
      <c r="A57" s="425">
        <f>'F5'!A55</f>
        <v>46</v>
      </c>
      <c r="B57" s="426" t="str">
        <f>'F5'!B55</f>
        <v>7.3.2</v>
      </c>
      <c r="C57" s="123"/>
      <c r="D57" s="123"/>
      <c r="E57" s="123">
        <f>(C57+D57)/2</f>
        <v>0</v>
      </c>
      <c r="F57" s="279">
        <f>'F5'!D55</f>
        <v>0</v>
      </c>
      <c r="G57" s="406"/>
      <c r="H57" s="98"/>
      <c r="I57" s="427">
        <f>'F 3'!E59</f>
        <v>0.8</v>
      </c>
      <c r="J57" s="427">
        <f t="shared" si="1"/>
        <v>0</v>
      </c>
      <c r="K57" s="427">
        <f>'F 3'!F59</f>
        <v>4</v>
      </c>
    </row>
    <row r="58" spans="1:11" ht="15.75">
      <c r="A58" s="114" t="s">
        <v>647</v>
      </c>
      <c r="B58" s="98"/>
      <c r="C58" s="102"/>
      <c r="D58" s="102"/>
      <c r="E58" s="98"/>
      <c r="F58" s="98"/>
      <c r="G58" s="98"/>
      <c r="H58" s="98"/>
      <c r="I58" s="98"/>
      <c r="J58" s="101"/>
      <c r="K58" s="98"/>
    </row>
    <row r="59" spans="1:11" ht="15.75">
      <c r="A59" s="115"/>
      <c r="B59" s="98"/>
      <c r="C59" s="102"/>
      <c r="D59" s="102"/>
      <c r="E59" s="98"/>
      <c r="F59" s="98"/>
      <c r="G59" s="98"/>
      <c r="H59" s="98"/>
      <c r="I59" s="98"/>
      <c r="J59" s="101"/>
      <c r="K59" s="98"/>
    </row>
    <row r="60" spans="1:11" ht="15.75">
      <c r="A60" s="115"/>
      <c r="B60" s="98"/>
      <c r="C60" s="102"/>
      <c r="D60" s="102"/>
      <c r="E60" s="98"/>
      <c r="F60" s="284" t="s">
        <v>208</v>
      </c>
      <c r="G60" s="198"/>
      <c r="H60" s="198"/>
      <c r="I60" s="98"/>
      <c r="J60" s="101"/>
      <c r="K60" s="98"/>
    </row>
    <row r="61" spans="1:11" ht="15.75">
      <c r="A61" s="115"/>
      <c r="B61" s="98"/>
      <c r="C61" s="102"/>
      <c r="D61" s="102"/>
      <c r="E61" s="98"/>
      <c r="F61" s="98"/>
      <c r="G61" s="98"/>
      <c r="H61" s="98"/>
      <c r="I61" s="98"/>
      <c r="J61" s="101"/>
      <c r="K61" s="98"/>
    </row>
    <row r="62" spans="1:11" ht="15" customHeight="1">
      <c r="A62" s="399" t="s">
        <v>125</v>
      </c>
      <c r="B62" s="140"/>
      <c r="C62" s="140"/>
      <c r="D62" s="102"/>
      <c r="E62" s="101"/>
      <c r="F62" s="140" t="s">
        <v>126</v>
      </c>
      <c r="G62" s="98"/>
      <c r="H62" s="98"/>
      <c r="I62" s="98"/>
      <c r="J62" s="101"/>
      <c r="K62" s="98"/>
    </row>
    <row r="63" spans="1:11" ht="15">
      <c r="A63" s="140"/>
      <c r="B63" s="140"/>
      <c r="C63" s="140"/>
      <c r="D63" s="102"/>
      <c r="E63" s="101"/>
      <c r="F63" s="140"/>
      <c r="G63" s="98"/>
      <c r="H63" s="98"/>
      <c r="I63" s="98"/>
      <c r="J63" s="101"/>
      <c r="K63" s="98"/>
    </row>
    <row r="64" spans="1:11" ht="15">
      <c r="A64" s="140"/>
      <c r="B64" s="140"/>
      <c r="C64" s="140"/>
      <c r="D64" s="102"/>
      <c r="E64" s="101"/>
      <c r="F64" s="140"/>
      <c r="G64" s="98"/>
      <c r="H64" s="98"/>
      <c r="I64" s="98"/>
      <c r="J64" s="101"/>
      <c r="K64" s="98"/>
    </row>
    <row r="65" spans="1:11" ht="15" customHeight="1">
      <c r="A65" s="399" t="s">
        <v>64</v>
      </c>
      <c r="B65" s="140"/>
      <c r="C65" s="140"/>
      <c r="D65" s="102"/>
      <c r="E65" s="101"/>
      <c r="F65" s="140" t="s">
        <v>64</v>
      </c>
      <c r="G65" s="98"/>
      <c r="H65" s="98"/>
      <c r="I65" s="98"/>
      <c r="J65" s="101"/>
      <c r="K65" s="98"/>
    </row>
    <row r="66" spans="1:11" ht="15">
      <c r="A66" s="140"/>
      <c r="B66" s="140"/>
      <c r="C66" s="117"/>
      <c r="D66" s="140"/>
      <c r="E66" s="140"/>
      <c r="F66" s="98"/>
      <c r="G66" s="98"/>
      <c r="H66" s="98"/>
      <c r="I66" s="98"/>
      <c r="J66" s="101"/>
      <c r="K66" s="98"/>
    </row>
    <row r="67" spans="4:5" ht="15" customHeight="1">
      <c r="D67" s="330"/>
      <c r="E67" s="330"/>
    </row>
    <row r="68" spans="4:5" ht="15.75">
      <c r="D68" s="63"/>
      <c r="E68" s="64"/>
    </row>
    <row r="70" spans="4:5" ht="15">
      <c r="D70" s="589"/>
      <c r="E70" s="589"/>
    </row>
  </sheetData>
  <sheetProtection formatCells="0" formatColumns="0" formatRows="0" selectLockedCells="1"/>
  <mergeCells count="9">
    <mergeCell ref="D70:E70"/>
    <mergeCell ref="A6:C6"/>
    <mergeCell ref="K10:K11"/>
    <mergeCell ref="I10:J11"/>
    <mergeCell ref="A10:A11"/>
    <mergeCell ref="B10:B11"/>
    <mergeCell ref="C10:E10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12" ht="15.75">
      <c r="A1" s="46" t="s">
        <v>726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5.75">
      <c r="A2" s="1"/>
    </row>
    <row r="3" spans="1:4" ht="15.75">
      <c r="A3" s="597" t="s">
        <v>66</v>
      </c>
      <c r="B3" s="597"/>
      <c r="C3" s="597"/>
      <c r="D3" s="6" t="str">
        <f>'F6'!E3</f>
        <v>: ...</v>
      </c>
    </row>
    <row r="4" spans="1:4" ht="15.75">
      <c r="A4" s="597" t="s">
        <v>67</v>
      </c>
      <c r="B4" s="597"/>
      <c r="C4" s="597"/>
      <c r="D4" s="6" t="str">
        <f>'F6'!E4</f>
        <v>: ...</v>
      </c>
    </row>
    <row r="5" spans="1:4" ht="15.75">
      <c r="A5" s="597" t="s">
        <v>68</v>
      </c>
      <c r="B5" s="597"/>
      <c r="C5" s="597"/>
      <c r="D5" s="6" t="str">
        <f>'F6'!E5</f>
        <v>: ...</v>
      </c>
    </row>
    <row r="6" spans="1:4" ht="15.75">
      <c r="A6" s="597"/>
      <c r="B6" s="597"/>
      <c r="C6" s="597"/>
      <c r="D6" s="9"/>
    </row>
    <row r="7" spans="1:16" ht="15">
      <c r="A7" s="595" t="s">
        <v>131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</row>
    <row r="8" spans="1:9" ht="15">
      <c r="A8" s="595" t="s">
        <v>132</v>
      </c>
      <c r="B8" s="569"/>
      <c r="C8" s="569"/>
      <c r="D8" s="569"/>
      <c r="E8" s="569"/>
      <c r="F8" s="569"/>
      <c r="G8" s="569"/>
      <c r="H8" s="569"/>
      <c r="I8" s="569"/>
    </row>
    <row r="10" spans="1:11" ht="15">
      <c r="A10" s="599" t="s">
        <v>209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69"/>
    </row>
    <row r="11" spans="1:9" ht="15">
      <c r="A11" s="593"/>
      <c r="B11" s="569"/>
      <c r="C11" s="569"/>
      <c r="D11" s="569"/>
      <c r="E11" s="569"/>
      <c r="F11" s="569"/>
      <c r="G11" s="569"/>
      <c r="H11" s="569"/>
      <c r="I11" s="569"/>
    </row>
    <row r="12" spans="1:9" ht="15">
      <c r="A12" s="593"/>
      <c r="B12" s="569"/>
      <c r="C12" s="569"/>
      <c r="D12" s="569"/>
      <c r="E12" s="569"/>
      <c r="F12" s="569"/>
      <c r="G12" s="569"/>
      <c r="H12" s="569"/>
      <c r="I12" s="569"/>
    </row>
    <row r="13" spans="1:9" ht="15">
      <c r="A13" s="593"/>
      <c r="B13" s="569"/>
      <c r="C13" s="569"/>
      <c r="D13" s="569"/>
      <c r="E13" s="569"/>
      <c r="F13" s="569"/>
      <c r="G13" s="569"/>
      <c r="H13" s="569"/>
      <c r="I13" s="569"/>
    </row>
    <row r="14" spans="1:9" ht="15">
      <c r="A14" s="593"/>
      <c r="B14" s="569"/>
      <c r="C14" s="569"/>
      <c r="D14" s="569"/>
      <c r="E14" s="569"/>
      <c r="F14" s="569"/>
      <c r="G14" s="569"/>
      <c r="H14" s="569"/>
      <c r="I14" s="569"/>
    </row>
    <row r="15" spans="1:9" ht="15">
      <c r="A15" s="593"/>
      <c r="B15" s="569"/>
      <c r="C15" s="569"/>
      <c r="D15" s="569"/>
      <c r="E15" s="569"/>
      <c r="F15" s="569"/>
      <c r="G15" s="569"/>
      <c r="H15" s="569"/>
      <c r="I15" s="569"/>
    </row>
    <row r="16" spans="1:9" ht="15">
      <c r="A16" s="593"/>
      <c r="B16" s="569"/>
      <c r="C16" s="569"/>
      <c r="D16" s="569"/>
      <c r="E16" s="569"/>
      <c r="F16" s="569"/>
      <c r="G16" s="569"/>
      <c r="H16" s="569"/>
      <c r="I16" s="569"/>
    </row>
    <row r="17" spans="1:9" ht="15">
      <c r="A17" s="593"/>
      <c r="B17" s="569"/>
      <c r="C17" s="569"/>
      <c r="D17" s="569"/>
      <c r="E17" s="569"/>
      <c r="F17" s="569"/>
      <c r="G17" s="569"/>
      <c r="H17" s="569"/>
      <c r="I17" s="569"/>
    </row>
    <row r="18" spans="1:9" ht="15">
      <c r="A18" s="593"/>
      <c r="B18" s="569"/>
      <c r="C18" s="569"/>
      <c r="D18" s="569"/>
      <c r="E18" s="569"/>
      <c r="F18" s="569"/>
      <c r="G18" s="569"/>
      <c r="H18" s="569"/>
      <c r="I18" s="569"/>
    </row>
    <row r="19" spans="1:9" ht="15">
      <c r="A19" s="593"/>
      <c r="B19" s="569"/>
      <c r="C19" s="569"/>
      <c r="D19" s="569"/>
      <c r="E19" s="569"/>
      <c r="F19" s="569"/>
      <c r="G19" s="569"/>
      <c r="H19" s="569"/>
      <c r="I19" s="569"/>
    </row>
    <row r="20" spans="1:9" ht="15">
      <c r="A20" s="593"/>
      <c r="B20" s="569"/>
      <c r="C20" s="569"/>
      <c r="D20" s="569"/>
      <c r="E20" s="569"/>
      <c r="F20" s="569"/>
      <c r="G20" s="569"/>
      <c r="H20" s="569"/>
      <c r="I20" s="569"/>
    </row>
    <row r="21" spans="1:9" ht="15">
      <c r="A21" s="593"/>
      <c r="B21" s="569"/>
      <c r="C21" s="569"/>
      <c r="D21" s="569"/>
      <c r="E21" s="569"/>
      <c r="F21" s="569"/>
      <c r="G21" s="569"/>
      <c r="H21" s="569"/>
      <c r="I21" s="569"/>
    </row>
    <row r="22" ht="15">
      <c r="A22" s="41"/>
    </row>
    <row r="23" spans="1:11" ht="15">
      <c r="A23" s="596" t="s">
        <v>210</v>
      </c>
      <c r="B23" s="569"/>
      <c r="C23" s="569"/>
      <c r="D23" s="569"/>
      <c r="E23" s="569"/>
      <c r="F23" s="569"/>
      <c r="G23" s="569"/>
      <c r="H23" s="569"/>
      <c r="I23" s="569"/>
      <c r="J23" s="569"/>
      <c r="K23" s="569"/>
    </row>
    <row r="24" ht="15">
      <c r="A24" s="42" t="s">
        <v>135</v>
      </c>
    </row>
    <row r="25" spans="1:9" ht="15">
      <c r="A25" s="593"/>
      <c r="B25" s="569"/>
      <c r="C25" s="569"/>
      <c r="D25" s="569"/>
      <c r="E25" s="569"/>
      <c r="F25" s="569"/>
      <c r="G25" s="569"/>
      <c r="H25" s="569"/>
      <c r="I25" s="569"/>
    </row>
    <row r="26" spans="1:9" ht="15">
      <c r="A26" s="593"/>
      <c r="B26" s="569"/>
      <c r="C26" s="569"/>
      <c r="D26" s="569"/>
      <c r="E26" s="569"/>
      <c r="F26" s="569"/>
      <c r="G26" s="569"/>
      <c r="H26" s="569"/>
      <c r="I26" s="569"/>
    </row>
    <row r="27" spans="1:9" ht="15">
      <c r="A27" s="593"/>
      <c r="B27" s="569"/>
      <c r="C27" s="569"/>
      <c r="D27" s="569"/>
      <c r="E27" s="569"/>
      <c r="F27" s="569"/>
      <c r="G27" s="569"/>
      <c r="H27" s="569"/>
      <c r="I27" s="569"/>
    </row>
    <row r="28" spans="1:9" ht="15">
      <c r="A28" s="593"/>
      <c r="B28" s="569"/>
      <c r="C28" s="569"/>
      <c r="D28" s="569"/>
      <c r="E28" s="569"/>
      <c r="F28" s="569"/>
      <c r="G28" s="569"/>
      <c r="H28" s="569"/>
      <c r="I28" s="569"/>
    </row>
    <row r="29" spans="1:9" ht="15">
      <c r="A29" s="593"/>
      <c r="B29" s="569"/>
      <c r="C29" s="569"/>
      <c r="D29" s="569"/>
      <c r="E29" s="569"/>
      <c r="F29" s="569"/>
      <c r="G29" s="569"/>
      <c r="H29" s="569"/>
      <c r="I29" s="569"/>
    </row>
    <row r="30" spans="1:9" ht="15">
      <c r="A30" s="593"/>
      <c r="B30" s="569"/>
      <c r="C30" s="569"/>
      <c r="D30" s="569"/>
      <c r="E30" s="569"/>
      <c r="F30" s="569"/>
      <c r="G30" s="569"/>
      <c r="H30" s="569"/>
      <c r="I30" s="569"/>
    </row>
    <row r="31" spans="1:9" ht="15">
      <c r="A31" s="593"/>
      <c r="B31" s="569"/>
      <c r="C31" s="569"/>
      <c r="D31" s="569"/>
      <c r="E31" s="569"/>
      <c r="F31" s="569"/>
      <c r="G31" s="569"/>
      <c r="H31" s="569"/>
      <c r="I31" s="569"/>
    </row>
    <row r="32" spans="1:9" ht="15">
      <c r="A32" s="593"/>
      <c r="B32" s="569"/>
      <c r="C32" s="569"/>
      <c r="D32" s="569"/>
      <c r="E32" s="569"/>
      <c r="F32" s="569"/>
      <c r="G32" s="569"/>
      <c r="H32" s="569"/>
      <c r="I32" s="569"/>
    </row>
    <row r="33" spans="1:9" ht="15">
      <c r="A33" s="593"/>
      <c r="B33" s="569"/>
      <c r="C33" s="569"/>
      <c r="D33" s="569"/>
      <c r="E33" s="569"/>
      <c r="F33" s="569"/>
      <c r="G33" s="569"/>
      <c r="H33" s="569"/>
      <c r="I33" s="569"/>
    </row>
    <row r="34" spans="1:9" ht="15">
      <c r="A34" s="593"/>
      <c r="B34" s="569"/>
      <c r="C34" s="569"/>
      <c r="D34" s="569"/>
      <c r="E34" s="569"/>
      <c r="F34" s="569"/>
      <c r="G34" s="569"/>
      <c r="H34" s="569"/>
      <c r="I34" s="569"/>
    </row>
    <row r="35" spans="1:9" ht="15">
      <c r="A35" s="593"/>
      <c r="B35" s="569"/>
      <c r="C35" s="569"/>
      <c r="D35" s="569"/>
      <c r="E35" s="569"/>
      <c r="F35" s="569"/>
      <c r="G35" s="569"/>
      <c r="H35" s="569"/>
      <c r="I35" s="569"/>
    </row>
    <row r="36" ht="15">
      <c r="A36" s="41"/>
    </row>
    <row r="37" ht="15">
      <c r="A37" s="66" t="s">
        <v>211</v>
      </c>
    </row>
    <row r="38" spans="1:9" ht="15">
      <c r="A38" s="598"/>
      <c r="B38" s="569"/>
      <c r="C38" s="569"/>
      <c r="D38" s="569"/>
      <c r="E38" s="569"/>
      <c r="F38" s="569"/>
      <c r="G38" s="569"/>
      <c r="H38" s="569"/>
      <c r="I38" s="569"/>
    </row>
    <row r="39" spans="1:9" ht="15">
      <c r="A39" s="569"/>
      <c r="B39" s="569"/>
      <c r="C39" s="569"/>
      <c r="D39" s="569"/>
      <c r="E39" s="569"/>
      <c r="F39" s="569"/>
      <c r="G39" s="569"/>
      <c r="H39" s="569"/>
      <c r="I39" s="569"/>
    </row>
    <row r="40" spans="1:9" ht="15">
      <c r="A40" s="569"/>
      <c r="B40" s="569"/>
      <c r="C40" s="569"/>
      <c r="D40" s="569"/>
      <c r="E40" s="569"/>
      <c r="F40" s="569"/>
      <c r="G40" s="569"/>
      <c r="H40" s="569"/>
      <c r="I40" s="569"/>
    </row>
    <row r="41" spans="1:9" ht="15">
      <c r="A41" s="569"/>
      <c r="B41" s="569"/>
      <c r="C41" s="569"/>
      <c r="D41" s="569"/>
      <c r="E41" s="569"/>
      <c r="F41" s="569"/>
      <c r="G41" s="569"/>
      <c r="H41" s="569"/>
      <c r="I41" s="569"/>
    </row>
    <row r="42" spans="1:9" ht="15">
      <c r="A42" s="569"/>
      <c r="B42" s="569"/>
      <c r="C42" s="569"/>
      <c r="D42" s="569"/>
      <c r="E42" s="569"/>
      <c r="F42" s="569"/>
      <c r="G42" s="569"/>
      <c r="H42" s="569"/>
      <c r="I42" s="569"/>
    </row>
    <row r="43" spans="1:9" ht="15">
      <c r="A43" s="569"/>
      <c r="B43" s="569"/>
      <c r="C43" s="569"/>
      <c r="D43" s="569"/>
      <c r="E43" s="569"/>
      <c r="F43" s="569"/>
      <c r="G43" s="569"/>
      <c r="H43" s="569"/>
      <c r="I43" s="569"/>
    </row>
    <row r="44" spans="1:9" ht="15">
      <c r="A44" s="569"/>
      <c r="B44" s="569"/>
      <c r="C44" s="569"/>
      <c r="D44" s="569"/>
      <c r="E44" s="569"/>
      <c r="F44" s="569"/>
      <c r="G44" s="569"/>
      <c r="H44" s="569"/>
      <c r="I44" s="569"/>
    </row>
    <row r="45" spans="1:9" ht="15">
      <c r="A45" s="569"/>
      <c r="B45" s="569"/>
      <c r="C45" s="569"/>
      <c r="D45" s="569"/>
      <c r="E45" s="569"/>
      <c r="F45" s="569"/>
      <c r="G45" s="569"/>
      <c r="H45" s="569"/>
      <c r="I45" s="569"/>
    </row>
    <row r="46" spans="1:9" ht="15">
      <c r="A46" s="569"/>
      <c r="B46" s="569"/>
      <c r="C46" s="569"/>
      <c r="D46" s="569"/>
      <c r="E46" s="569"/>
      <c r="F46" s="569"/>
      <c r="G46" s="569"/>
      <c r="H46" s="569"/>
      <c r="I46" s="569"/>
    </row>
    <row r="47" spans="1:9" ht="15">
      <c r="A47" s="569"/>
      <c r="B47" s="569"/>
      <c r="C47" s="569"/>
      <c r="D47" s="569"/>
      <c r="E47" s="569"/>
      <c r="F47" s="569"/>
      <c r="G47" s="569"/>
      <c r="H47" s="569"/>
      <c r="I47" s="569"/>
    </row>
    <row r="48" spans="1:9" ht="15">
      <c r="A48" s="569"/>
      <c r="B48" s="569"/>
      <c r="C48" s="569"/>
      <c r="D48" s="569"/>
      <c r="E48" s="569"/>
      <c r="F48" s="569"/>
      <c r="G48" s="569"/>
      <c r="H48" s="569"/>
      <c r="I48" s="569"/>
    </row>
    <row r="49" spans="1:9" ht="15">
      <c r="A49" s="569"/>
      <c r="B49" s="569"/>
      <c r="C49" s="569"/>
      <c r="D49" s="569"/>
      <c r="E49" s="569"/>
      <c r="F49" s="569"/>
      <c r="G49" s="569"/>
      <c r="H49" s="569"/>
      <c r="I49" s="569"/>
    </row>
    <row r="50" spans="1:9" ht="15">
      <c r="A50" s="569"/>
      <c r="B50" s="569"/>
      <c r="C50" s="569"/>
      <c r="D50" s="569"/>
      <c r="E50" s="569"/>
      <c r="F50" s="569"/>
      <c r="G50" s="569"/>
      <c r="H50" s="569"/>
      <c r="I50" s="569"/>
    </row>
    <row r="51" spans="1:9" ht="15">
      <c r="A51" s="569"/>
      <c r="B51" s="569"/>
      <c r="C51" s="569"/>
      <c r="D51" s="569"/>
      <c r="E51" s="569"/>
      <c r="F51" s="569"/>
      <c r="G51" s="569"/>
      <c r="H51" s="569"/>
      <c r="I51" s="569"/>
    </row>
    <row r="52" spans="1:9" ht="15">
      <c r="A52" s="569"/>
      <c r="B52" s="569"/>
      <c r="C52" s="569"/>
      <c r="D52" s="569"/>
      <c r="E52" s="569"/>
      <c r="F52" s="569"/>
      <c r="G52" s="569"/>
      <c r="H52" s="569"/>
      <c r="I52" s="569"/>
    </row>
    <row r="53" spans="1:9" ht="15">
      <c r="A53" s="569"/>
      <c r="B53" s="569"/>
      <c r="C53" s="569"/>
      <c r="D53" s="569"/>
      <c r="E53" s="569"/>
      <c r="F53" s="569"/>
      <c r="G53" s="569"/>
      <c r="H53" s="569"/>
      <c r="I53" s="569"/>
    </row>
    <row r="54" spans="1:9" ht="15">
      <c r="A54" s="569"/>
      <c r="B54" s="569"/>
      <c r="C54" s="569"/>
      <c r="D54" s="569"/>
      <c r="E54" s="569"/>
      <c r="F54" s="569"/>
      <c r="G54" s="569"/>
      <c r="H54" s="569"/>
      <c r="I54" s="569"/>
    </row>
    <row r="55" spans="1:9" ht="15">
      <c r="A55" s="569"/>
      <c r="B55" s="569"/>
      <c r="C55" s="569"/>
      <c r="D55" s="569"/>
      <c r="E55" s="569"/>
      <c r="F55" s="569"/>
      <c r="G55" s="569"/>
      <c r="H55" s="569"/>
      <c r="I55" s="569"/>
    </row>
    <row r="56" spans="1:9" ht="15">
      <c r="A56" s="569"/>
      <c r="B56" s="569"/>
      <c r="C56" s="569"/>
      <c r="D56" s="569"/>
      <c r="E56" s="569"/>
      <c r="F56" s="569"/>
      <c r="G56" s="569"/>
      <c r="H56" s="569"/>
      <c r="I56" s="569"/>
    </row>
    <row r="57" ht="15">
      <c r="A57" s="41"/>
    </row>
    <row r="58" spans="1:9" ht="15">
      <c r="A58" s="596" t="s">
        <v>133</v>
      </c>
      <c r="B58" s="569"/>
      <c r="C58" s="569"/>
      <c r="D58" s="569"/>
      <c r="E58" s="569"/>
      <c r="F58" s="569"/>
      <c r="G58" s="569"/>
      <c r="H58" s="569"/>
      <c r="I58" s="569"/>
    </row>
    <row r="59" spans="1:9" ht="15">
      <c r="A59" s="593"/>
      <c r="B59" s="569"/>
      <c r="C59" s="569"/>
      <c r="D59" s="569"/>
      <c r="E59" s="569"/>
      <c r="F59" s="569"/>
      <c r="G59" s="569"/>
      <c r="H59" s="569"/>
      <c r="I59" s="569"/>
    </row>
    <row r="60" spans="1:9" ht="15">
      <c r="A60" s="593"/>
      <c r="B60" s="569"/>
      <c r="C60" s="569"/>
      <c r="D60" s="569"/>
      <c r="E60" s="569"/>
      <c r="F60" s="569"/>
      <c r="G60" s="569"/>
      <c r="H60" s="569"/>
      <c r="I60" s="569"/>
    </row>
    <row r="61" spans="1:9" ht="15">
      <c r="A61" s="593"/>
      <c r="B61" s="569"/>
      <c r="C61" s="569"/>
      <c r="D61" s="569"/>
      <c r="E61" s="569"/>
      <c r="F61" s="569"/>
      <c r="G61" s="569"/>
      <c r="H61" s="569"/>
      <c r="I61" s="569"/>
    </row>
    <row r="62" spans="1:9" ht="15">
      <c r="A62" s="593"/>
      <c r="B62" s="569"/>
      <c r="C62" s="569"/>
      <c r="D62" s="569"/>
      <c r="E62" s="569"/>
      <c r="F62" s="569"/>
      <c r="G62" s="569"/>
      <c r="H62" s="569"/>
      <c r="I62" s="569"/>
    </row>
    <row r="63" spans="1:9" ht="15">
      <c r="A63" s="593"/>
      <c r="B63" s="569"/>
      <c r="C63" s="569"/>
      <c r="D63" s="569"/>
      <c r="E63" s="569"/>
      <c r="F63" s="569"/>
      <c r="G63" s="569"/>
      <c r="H63" s="569"/>
      <c r="I63" s="569"/>
    </row>
    <row r="64" spans="1:9" ht="15">
      <c r="A64" s="593"/>
      <c r="B64" s="569"/>
      <c r="C64" s="569"/>
      <c r="D64" s="569"/>
      <c r="E64" s="569"/>
      <c r="F64" s="569"/>
      <c r="G64" s="569"/>
      <c r="H64" s="569"/>
      <c r="I64" s="569"/>
    </row>
    <row r="65" spans="1:9" ht="15">
      <c r="A65" s="593"/>
      <c r="B65" s="569"/>
      <c r="C65" s="569"/>
      <c r="D65" s="569"/>
      <c r="E65" s="569"/>
      <c r="F65" s="569"/>
      <c r="G65" s="569"/>
      <c r="H65" s="569"/>
      <c r="I65" s="569"/>
    </row>
    <row r="66" spans="1:9" ht="15">
      <c r="A66" s="593"/>
      <c r="B66" s="569"/>
      <c r="C66" s="569"/>
      <c r="D66" s="569"/>
      <c r="E66" s="569"/>
      <c r="F66" s="569"/>
      <c r="G66" s="569"/>
      <c r="H66" s="569"/>
      <c r="I66" s="569"/>
    </row>
    <row r="67" spans="1:9" ht="15">
      <c r="A67" s="593"/>
      <c r="B67" s="569"/>
      <c r="C67" s="569"/>
      <c r="D67" s="569"/>
      <c r="E67" s="569"/>
      <c r="F67" s="569"/>
      <c r="G67" s="569"/>
      <c r="H67" s="569"/>
      <c r="I67" s="569"/>
    </row>
    <row r="68" spans="1:9" ht="15">
      <c r="A68" s="593"/>
      <c r="B68" s="569"/>
      <c r="C68" s="569"/>
      <c r="D68" s="569"/>
      <c r="E68" s="569"/>
      <c r="F68" s="569"/>
      <c r="G68" s="569"/>
      <c r="H68" s="569"/>
      <c r="I68" s="569"/>
    </row>
    <row r="69" spans="1:9" ht="15">
      <c r="A69" s="593"/>
      <c r="B69" s="569"/>
      <c r="C69" s="569"/>
      <c r="D69" s="569"/>
      <c r="E69" s="569"/>
      <c r="F69" s="569"/>
      <c r="G69" s="569"/>
      <c r="H69" s="569"/>
      <c r="I69" s="569"/>
    </row>
    <row r="70" spans="1:9" ht="15">
      <c r="A70" s="593"/>
      <c r="B70" s="569"/>
      <c r="C70" s="569"/>
      <c r="D70" s="569"/>
      <c r="E70" s="569"/>
      <c r="F70" s="569"/>
      <c r="G70" s="569"/>
      <c r="H70" s="569"/>
      <c r="I70" s="569"/>
    </row>
    <row r="71" spans="1:9" ht="15">
      <c r="A71" s="593"/>
      <c r="B71" s="569"/>
      <c r="C71" s="569"/>
      <c r="D71" s="569"/>
      <c r="E71" s="569"/>
      <c r="F71" s="569"/>
      <c r="G71" s="569"/>
      <c r="H71" s="569"/>
      <c r="I71" s="569"/>
    </row>
    <row r="72" spans="1:9" ht="15">
      <c r="A72" s="593"/>
      <c r="B72" s="569"/>
      <c r="C72" s="569"/>
      <c r="D72" s="569"/>
      <c r="E72" s="569"/>
      <c r="F72" s="569"/>
      <c r="G72" s="569"/>
      <c r="H72" s="569"/>
      <c r="I72" s="569"/>
    </row>
    <row r="73" spans="1:9" ht="15">
      <c r="A73" s="593"/>
      <c r="B73" s="569"/>
      <c r="C73" s="569"/>
      <c r="D73" s="569"/>
      <c r="E73" s="569"/>
      <c r="F73" s="569"/>
      <c r="G73" s="569"/>
      <c r="H73" s="569"/>
      <c r="I73" s="569"/>
    </row>
    <row r="74" ht="15">
      <c r="A74" s="41"/>
    </row>
    <row r="75" ht="15">
      <c r="A75" s="43" t="s">
        <v>134</v>
      </c>
    </row>
    <row r="76" spans="1:9" ht="15">
      <c r="A76" s="593"/>
      <c r="B76" s="569"/>
      <c r="C76" s="569"/>
      <c r="D76" s="569"/>
      <c r="E76" s="569"/>
      <c r="F76" s="569"/>
      <c r="G76" s="569"/>
      <c r="H76" s="569"/>
      <c r="I76" s="569"/>
    </row>
    <row r="77" spans="1:9" ht="15">
      <c r="A77" s="593"/>
      <c r="B77" s="569"/>
      <c r="C77" s="569"/>
      <c r="D77" s="569"/>
      <c r="E77" s="569"/>
      <c r="F77" s="569"/>
      <c r="G77" s="569"/>
      <c r="H77" s="569"/>
      <c r="I77" s="569"/>
    </row>
    <row r="78" spans="1:9" ht="15">
      <c r="A78" s="593"/>
      <c r="B78" s="569"/>
      <c r="C78" s="569"/>
      <c r="D78" s="569"/>
      <c r="E78" s="569"/>
      <c r="F78" s="569"/>
      <c r="G78" s="569"/>
      <c r="H78" s="569"/>
      <c r="I78" s="569"/>
    </row>
    <row r="79" spans="1:9" ht="15">
      <c r="A79" s="593"/>
      <c r="B79" s="569"/>
      <c r="C79" s="569"/>
      <c r="D79" s="569"/>
      <c r="E79" s="569"/>
      <c r="F79" s="569"/>
      <c r="G79" s="569"/>
      <c r="H79" s="569"/>
      <c r="I79" s="569"/>
    </row>
    <row r="80" spans="1:9" ht="15">
      <c r="A80" s="593"/>
      <c r="B80" s="569"/>
      <c r="C80" s="569"/>
      <c r="D80" s="569"/>
      <c r="E80" s="569"/>
      <c r="F80" s="569"/>
      <c r="G80" s="569"/>
      <c r="H80" s="569"/>
      <c r="I80" s="569"/>
    </row>
    <row r="81" spans="1:9" ht="15">
      <c r="A81" s="593"/>
      <c r="B81" s="569"/>
      <c r="C81" s="569"/>
      <c r="D81" s="569"/>
      <c r="E81" s="569"/>
      <c r="F81" s="569"/>
      <c r="G81" s="569"/>
      <c r="H81" s="569"/>
      <c r="I81" s="569"/>
    </row>
    <row r="82" spans="1:9" ht="15">
      <c r="A82" s="593"/>
      <c r="B82" s="569"/>
      <c r="C82" s="569"/>
      <c r="D82" s="569"/>
      <c r="E82" s="569"/>
      <c r="F82" s="569"/>
      <c r="G82" s="569"/>
      <c r="H82" s="569"/>
      <c r="I82" s="569"/>
    </row>
    <row r="83" spans="1:9" ht="15">
      <c r="A83" s="593"/>
      <c r="B83" s="569"/>
      <c r="C83" s="569"/>
      <c r="D83" s="569"/>
      <c r="E83" s="569"/>
      <c r="F83" s="569"/>
      <c r="G83" s="569"/>
      <c r="H83" s="569"/>
      <c r="I83" s="569"/>
    </row>
    <row r="84" spans="1:9" ht="15">
      <c r="A84" s="593"/>
      <c r="B84" s="569"/>
      <c r="C84" s="569"/>
      <c r="D84" s="569"/>
      <c r="E84" s="569"/>
      <c r="F84" s="569"/>
      <c r="G84" s="569"/>
      <c r="H84" s="569"/>
      <c r="I84" s="569"/>
    </row>
    <row r="85" spans="1:9" ht="15">
      <c r="A85" s="593"/>
      <c r="B85" s="569"/>
      <c r="C85" s="569"/>
      <c r="D85" s="569"/>
      <c r="E85" s="569"/>
      <c r="F85" s="569"/>
      <c r="G85" s="569"/>
      <c r="H85" s="569"/>
      <c r="I85" s="569"/>
    </row>
    <row r="86" spans="1:9" ht="15">
      <c r="A86" s="593"/>
      <c r="B86" s="569"/>
      <c r="C86" s="569"/>
      <c r="D86" s="569"/>
      <c r="E86" s="569"/>
      <c r="F86" s="569"/>
      <c r="G86" s="569"/>
      <c r="H86" s="569"/>
      <c r="I86" s="569"/>
    </row>
    <row r="87" spans="1:9" ht="15">
      <c r="A87" s="593"/>
      <c r="B87" s="569"/>
      <c r="C87" s="569"/>
      <c r="D87" s="569"/>
      <c r="E87" s="569"/>
      <c r="F87" s="569"/>
      <c r="G87" s="569"/>
      <c r="H87" s="569"/>
      <c r="I87" s="569"/>
    </row>
    <row r="88" spans="1:9" ht="15">
      <c r="A88" s="593"/>
      <c r="B88" s="569"/>
      <c r="C88" s="569"/>
      <c r="D88" s="569"/>
      <c r="E88" s="569"/>
      <c r="F88" s="569"/>
      <c r="G88" s="569"/>
      <c r="H88" s="569"/>
      <c r="I88" s="569"/>
    </row>
    <row r="89" spans="1:9" ht="15">
      <c r="A89" s="593"/>
      <c r="B89" s="569"/>
      <c r="C89" s="569"/>
      <c r="D89" s="569"/>
      <c r="E89" s="569"/>
      <c r="F89" s="569"/>
      <c r="G89" s="569"/>
      <c r="H89" s="569"/>
      <c r="I89" s="569"/>
    </row>
    <row r="90" spans="1:9" ht="15">
      <c r="A90" s="593"/>
      <c r="B90" s="569"/>
      <c r="C90" s="569"/>
      <c r="D90" s="569"/>
      <c r="E90" s="569"/>
      <c r="F90" s="569"/>
      <c r="G90" s="569"/>
      <c r="H90" s="569"/>
      <c r="I90" s="569"/>
    </row>
    <row r="91" ht="15">
      <c r="A91" s="41"/>
    </row>
    <row r="92" ht="15.75">
      <c r="A92" s="44"/>
    </row>
    <row r="93" spans="1:10" ht="15">
      <c r="A93" s="596" t="s">
        <v>212</v>
      </c>
      <c r="B93" s="569"/>
      <c r="C93" s="569"/>
      <c r="D93" s="569"/>
      <c r="E93" s="569"/>
      <c r="F93" s="569"/>
      <c r="G93" s="569"/>
      <c r="H93" s="569"/>
      <c r="I93" s="569"/>
      <c r="J93" s="569"/>
    </row>
    <row r="94" spans="1:9" ht="15">
      <c r="A94" s="593"/>
      <c r="B94" s="569"/>
      <c r="C94" s="569"/>
      <c r="D94" s="569"/>
      <c r="E94" s="569"/>
      <c r="F94" s="569"/>
      <c r="G94" s="569"/>
      <c r="H94" s="569"/>
      <c r="I94" s="569"/>
    </row>
    <row r="95" spans="1:9" ht="15">
      <c r="A95" s="593"/>
      <c r="B95" s="569"/>
      <c r="C95" s="569"/>
      <c r="D95" s="569"/>
      <c r="E95" s="569"/>
      <c r="F95" s="569"/>
      <c r="G95" s="569"/>
      <c r="H95" s="569"/>
      <c r="I95" s="569"/>
    </row>
    <row r="96" spans="1:9" ht="15">
      <c r="A96" s="593"/>
      <c r="B96" s="569"/>
      <c r="C96" s="569"/>
      <c r="D96" s="569"/>
      <c r="E96" s="569"/>
      <c r="F96" s="569"/>
      <c r="G96" s="569"/>
      <c r="H96" s="569"/>
      <c r="I96" s="569"/>
    </row>
    <row r="97" spans="1:9" ht="15">
      <c r="A97" s="593"/>
      <c r="B97" s="569"/>
      <c r="C97" s="569"/>
      <c r="D97" s="569"/>
      <c r="E97" s="569"/>
      <c r="F97" s="569"/>
      <c r="G97" s="569"/>
      <c r="H97" s="569"/>
      <c r="I97" s="569"/>
    </row>
    <row r="98" spans="1:9" ht="15">
      <c r="A98" s="593"/>
      <c r="B98" s="569"/>
      <c r="C98" s="569"/>
      <c r="D98" s="569"/>
      <c r="E98" s="569"/>
      <c r="F98" s="569"/>
      <c r="G98" s="569"/>
      <c r="H98" s="569"/>
      <c r="I98" s="569"/>
    </row>
    <row r="99" spans="1:9" ht="15">
      <c r="A99" s="593"/>
      <c r="B99" s="569"/>
      <c r="C99" s="569"/>
      <c r="D99" s="569"/>
      <c r="E99" s="569"/>
      <c r="F99" s="569"/>
      <c r="G99" s="569"/>
      <c r="H99" s="569"/>
      <c r="I99" s="569"/>
    </row>
    <row r="100" spans="1:9" ht="15">
      <c r="A100" s="593"/>
      <c r="B100" s="569"/>
      <c r="C100" s="569"/>
      <c r="D100" s="569"/>
      <c r="E100" s="569"/>
      <c r="F100" s="569"/>
      <c r="G100" s="569"/>
      <c r="H100" s="569"/>
      <c r="I100" s="569"/>
    </row>
    <row r="101" spans="1:9" ht="15">
      <c r="A101" s="593"/>
      <c r="B101" s="569"/>
      <c r="C101" s="569"/>
      <c r="D101" s="569"/>
      <c r="E101" s="569"/>
      <c r="F101" s="569"/>
      <c r="G101" s="569"/>
      <c r="H101" s="569"/>
      <c r="I101" s="569"/>
    </row>
    <row r="102" spans="1:9" ht="15">
      <c r="A102" s="593"/>
      <c r="B102" s="569"/>
      <c r="C102" s="569"/>
      <c r="D102" s="569"/>
      <c r="E102" s="569"/>
      <c r="F102" s="569"/>
      <c r="G102" s="569"/>
      <c r="H102" s="569"/>
      <c r="I102" s="569"/>
    </row>
    <row r="103" spans="1:9" ht="15">
      <c r="A103" s="593"/>
      <c r="B103" s="569"/>
      <c r="C103" s="569"/>
      <c r="D103" s="569"/>
      <c r="E103" s="569"/>
      <c r="F103" s="569"/>
      <c r="G103" s="569"/>
      <c r="H103" s="569"/>
      <c r="I103" s="569"/>
    </row>
    <row r="104" spans="1:9" ht="15">
      <c r="A104" s="593"/>
      <c r="B104" s="569"/>
      <c r="C104" s="569"/>
      <c r="D104" s="569"/>
      <c r="E104" s="569"/>
      <c r="F104" s="569"/>
      <c r="G104" s="569"/>
      <c r="H104" s="569"/>
      <c r="I104" s="569"/>
    </row>
    <row r="105" spans="1:9" ht="15">
      <c r="A105" s="593"/>
      <c r="B105" s="569"/>
      <c r="C105" s="569"/>
      <c r="D105" s="569"/>
      <c r="E105" s="569"/>
      <c r="F105" s="569"/>
      <c r="G105" s="569"/>
      <c r="H105" s="569"/>
      <c r="I105" s="569"/>
    </row>
    <row r="106" spans="1:9" ht="15">
      <c r="A106" s="593"/>
      <c r="B106" s="569"/>
      <c r="C106" s="569"/>
      <c r="D106" s="569"/>
      <c r="E106" s="569"/>
      <c r="F106" s="569"/>
      <c r="G106" s="569"/>
      <c r="H106" s="569"/>
      <c r="I106" s="569"/>
    </row>
    <row r="107" spans="1:9" ht="15">
      <c r="A107" s="593"/>
      <c r="B107" s="569"/>
      <c r="C107" s="569"/>
      <c r="D107" s="569"/>
      <c r="E107" s="569"/>
      <c r="F107" s="569"/>
      <c r="G107" s="569"/>
      <c r="H107" s="569"/>
      <c r="I107" s="569"/>
    </row>
    <row r="108" spans="1:9" ht="15">
      <c r="A108" s="593"/>
      <c r="B108" s="569"/>
      <c r="C108" s="569"/>
      <c r="D108" s="569"/>
      <c r="E108" s="569"/>
      <c r="F108" s="569"/>
      <c r="G108" s="569"/>
      <c r="H108" s="569"/>
      <c r="I108" s="569"/>
    </row>
    <row r="109" ht="15">
      <c r="A109" s="41"/>
    </row>
    <row r="110" spans="1:11" ht="15">
      <c r="A110" s="594" t="s">
        <v>213</v>
      </c>
      <c r="B110" s="569"/>
      <c r="C110" s="569"/>
      <c r="D110" s="569"/>
      <c r="E110" s="569"/>
      <c r="F110" s="569"/>
      <c r="G110" s="569"/>
      <c r="H110" s="569"/>
      <c r="I110" s="569"/>
      <c r="J110" s="569"/>
      <c r="K110" s="569"/>
    </row>
    <row r="111" spans="1:9" ht="15">
      <c r="A111" s="593"/>
      <c r="B111" s="569"/>
      <c r="C111" s="569"/>
      <c r="D111" s="569"/>
      <c r="E111" s="569"/>
      <c r="F111" s="569"/>
      <c r="G111" s="569"/>
      <c r="H111" s="569"/>
      <c r="I111" s="569"/>
    </row>
    <row r="112" spans="1:9" ht="15">
      <c r="A112" s="593"/>
      <c r="B112" s="569"/>
      <c r="C112" s="569"/>
      <c r="D112" s="569"/>
      <c r="E112" s="569"/>
      <c r="F112" s="569"/>
      <c r="G112" s="569"/>
      <c r="H112" s="569"/>
      <c r="I112" s="569"/>
    </row>
    <row r="113" spans="1:9" ht="15">
      <c r="A113" s="593"/>
      <c r="B113" s="569"/>
      <c r="C113" s="569"/>
      <c r="D113" s="569"/>
      <c r="E113" s="569"/>
      <c r="F113" s="569"/>
      <c r="G113" s="569"/>
      <c r="H113" s="569"/>
      <c r="I113" s="569"/>
    </row>
    <row r="114" spans="1:9" ht="15">
      <c r="A114" s="593"/>
      <c r="B114" s="569"/>
      <c r="C114" s="569"/>
      <c r="D114" s="569"/>
      <c r="E114" s="569"/>
      <c r="F114" s="569"/>
      <c r="G114" s="569"/>
      <c r="H114" s="569"/>
      <c r="I114" s="569"/>
    </row>
    <row r="115" spans="1:9" ht="15">
      <c r="A115" s="593"/>
      <c r="B115" s="569"/>
      <c r="C115" s="569"/>
      <c r="D115" s="569"/>
      <c r="E115" s="569"/>
      <c r="F115" s="569"/>
      <c r="G115" s="569"/>
      <c r="H115" s="569"/>
      <c r="I115" s="569"/>
    </row>
    <row r="116" spans="1:9" ht="15">
      <c r="A116" s="593"/>
      <c r="B116" s="569"/>
      <c r="C116" s="569"/>
      <c r="D116" s="569"/>
      <c r="E116" s="569"/>
      <c r="F116" s="569"/>
      <c r="G116" s="569"/>
      <c r="H116" s="569"/>
      <c r="I116" s="569"/>
    </row>
    <row r="117" spans="1:9" ht="15">
      <c r="A117" s="593"/>
      <c r="B117" s="569"/>
      <c r="C117" s="569"/>
      <c r="D117" s="569"/>
      <c r="E117" s="569"/>
      <c r="F117" s="569"/>
      <c r="G117" s="569"/>
      <c r="H117" s="569"/>
      <c r="I117" s="569"/>
    </row>
    <row r="118" spans="1:9" ht="15">
      <c r="A118" s="593"/>
      <c r="B118" s="569"/>
      <c r="C118" s="569"/>
      <c r="D118" s="569"/>
      <c r="E118" s="569"/>
      <c r="F118" s="569"/>
      <c r="G118" s="569"/>
      <c r="H118" s="569"/>
      <c r="I118" s="569"/>
    </row>
    <row r="119" spans="1:9" ht="15">
      <c r="A119" s="593"/>
      <c r="B119" s="569"/>
      <c r="C119" s="569"/>
      <c r="D119" s="569"/>
      <c r="E119" s="569"/>
      <c r="F119" s="569"/>
      <c r="G119" s="569"/>
      <c r="H119" s="569"/>
      <c r="I119" s="569"/>
    </row>
    <row r="120" spans="1:9" ht="15">
      <c r="A120" s="593"/>
      <c r="B120" s="569"/>
      <c r="C120" s="569"/>
      <c r="D120" s="569"/>
      <c r="E120" s="569"/>
      <c r="F120" s="569"/>
      <c r="G120" s="569"/>
      <c r="H120" s="569"/>
      <c r="I120" s="569"/>
    </row>
    <row r="121" spans="1:9" ht="15">
      <c r="A121" s="593"/>
      <c r="B121" s="569"/>
      <c r="C121" s="569"/>
      <c r="D121" s="569"/>
      <c r="E121" s="569"/>
      <c r="F121" s="569"/>
      <c r="G121" s="569"/>
      <c r="H121" s="569"/>
      <c r="I121" s="569"/>
    </row>
    <row r="122" spans="1:9" ht="15">
      <c r="A122" s="593"/>
      <c r="B122" s="569"/>
      <c r="C122" s="569"/>
      <c r="D122" s="569"/>
      <c r="E122" s="569"/>
      <c r="F122" s="569"/>
      <c r="G122" s="569"/>
      <c r="H122" s="569"/>
      <c r="I122" s="569"/>
    </row>
    <row r="123" spans="1:9" ht="15">
      <c r="A123" s="593"/>
      <c r="B123" s="569"/>
      <c r="C123" s="569"/>
      <c r="D123" s="569"/>
      <c r="E123" s="569"/>
      <c r="F123" s="569"/>
      <c r="G123" s="569"/>
      <c r="H123" s="569"/>
      <c r="I123" s="569"/>
    </row>
    <row r="124" spans="1:9" ht="15">
      <c r="A124" s="593"/>
      <c r="B124" s="569"/>
      <c r="C124" s="569"/>
      <c r="D124" s="569"/>
      <c r="E124" s="569"/>
      <c r="F124" s="569"/>
      <c r="G124" s="569"/>
      <c r="H124" s="569"/>
      <c r="I124" s="569"/>
    </row>
    <row r="125" spans="1:9" ht="15">
      <c r="A125" s="593"/>
      <c r="B125" s="569"/>
      <c r="C125" s="569"/>
      <c r="D125" s="569"/>
      <c r="E125" s="569"/>
      <c r="F125" s="569"/>
      <c r="G125" s="569"/>
      <c r="H125" s="569"/>
      <c r="I125" s="569"/>
    </row>
    <row r="127" ht="15.75">
      <c r="A127" s="2"/>
    </row>
    <row r="128" spans="7:10" ht="15.75">
      <c r="G128" s="595" t="str">
        <f>'F6'!F117</f>
        <v>..........., .... - .... - 2010</v>
      </c>
      <c r="H128" s="595"/>
      <c r="I128" s="595"/>
      <c r="J128" s="569"/>
    </row>
    <row r="129" ht="15.75">
      <c r="A129" s="2"/>
    </row>
    <row r="130" ht="15.75">
      <c r="A130" s="2"/>
    </row>
    <row r="131" spans="1:7" ht="15" customHeight="1">
      <c r="A131" s="549" t="s">
        <v>125</v>
      </c>
      <c r="B131" s="549"/>
      <c r="C131" s="22"/>
      <c r="E131" s="22"/>
      <c r="F131" s="549" t="s">
        <v>126</v>
      </c>
      <c r="G131" s="549"/>
    </row>
    <row r="132" spans="1:5" ht="15">
      <c r="A132" s="22"/>
      <c r="B132" s="39"/>
      <c r="C132" s="22"/>
      <c r="D132" s="22"/>
      <c r="E132" s="22"/>
    </row>
    <row r="133" spans="1:5" ht="15">
      <c r="A133" s="22"/>
      <c r="B133" s="39"/>
      <c r="C133" s="22"/>
      <c r="D133" s="22"/>
      <c r="E133" s="22"/>
    </row>
    <row r="134" spans="1:7" ht="15" customHeight="1">
      <c r="A134" s="549" t="s">
        <v>64</v>
      </c>
      <c r="B134" s="549"/>
      <c r="C134" s="22"/>
      <c r="E134" s="22"/>
      <c r="F134" s="549" t="s">
        <v>64</v>
      </c>
      <c r="G134" s="549"/>
    </row>
    <row r="135" spans="1:5" ht="15">
      <c r="A135" s="22"/>
      <c r="B135" s="22"/>
      <c r="C135" s="22"/>
      <c r="D135" s="22"/>
      <c r="E135" s="22"/>
    </row>
  </sheetData>
  <sheetProtection/>
  <mergeCells count="23">
    <mergeCell ref="A3:C3"/>
    <mergeCell ref="A4:C4"/>
    <mergeCell ref="A5:C5"/>
    <mergeCell ref="A6:C6"/>
    <mergeCell ref="A7:P7"/>
    <mergeCell ref="A93:J93"/>
    <mergeCell ref="A58:I58"/>
    <mergeCell ref="A38:I56"/>
    <mergeCell ref="A10:K10"/>
    <mergeCell ref="A11:I21"/>
    <mergeCell ref="A8:I8"/>
    <mergeCell ref="A25:I35"/>
    <mergeCell ref="A59:I73"/>
    <mergeCell ref="A76:I90"/>
    <mergeCell ref="A23:K23"/>
    <mergeCell ref="A131:B131"/>
    <mergeCell ref="F131:G131"/>
    <mergeCell ref="F134:G134"/>
    <mergeCell ref="A134:B134"/>
    <mergeCell ref="A94:I108"/>
    <mergeCell ref="A111:I125"/>
    <mergeCell ref="A110:K110"/>
    <mergeCell ref="G128:J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10"/>
  <sheetViews>
    <sheetView zoomScalePageLayoutView="0" workbookViewId="0" topLeftCell="A43">
      <selection activeCell="C51" sqref="C51"/>
    </sheetView>
  </sheetViews>
  <sheetFormatPr defaultColWidth="9.140625" defaultRowHeight="15"/>
  <cols>
    <col min="1" max="1" width="9.140625" style="5" customWidth="1"/>
    <col min="2" max="2" width="9.140625" style="10" customWidth="1"/>
    <col min="4" max="4" width="9.140625" style="5" customWidth="1"/>
    <col min="6" max="7" width="9.140625" style="5" customWidth="1"/>
    <col min="8" max="8" width="14.7109375" style="5" customWidth="1"/>
    <col min="10" max="13" width="9.140625" style="5" customWidth="1"/>
  </cols>
  <sheetData>
    <row r="2" spans="1:14" ht="15">
      <c r="A2" s="601" t="s">
        <v>298</v>
      </c>
      <c r="B2" s="601"/>
      <c r="C2" s="601"/>
      <c r="D2" s="601"/>
      <c r="E2" s="601"/>
      <c r="J2" s="601" t="s">
        <v>299</v>
      </c>
      <c r="K2" s="601"/>
      <c r="L2" s="601"/>
      <c r="M2" s="601"/>
      <c r="N2" s="601"/>
    </row>
    <row r="4" spans="1:14" ht="15">
      <c r="A4" s="602" t="s">
        <v>166</v>
      </c>
      <c r="B4" s="600" t="s">
        <v>167</v>
      </c>
      <c r="C4" s="600"/>
      <c r="D4" s="600"/>
      <c r="E4" s="600"/>
      <c r="J4" s="600" t="s">
        <v>188</v>
      </c>
      <c r="K4" s="600" t="s">
        <v>167</v>
      </c>
      <c r="L4" s="600"/>
      <c r="M4" s="600"/>
      <c r="N4" s="600"/>
    </row>
    <row r="5" spans="1:14" ht="15">
      <c r="A5" s="602"/>
      <c r="B5" s="49" t="s">
        <v>165</v>
      </c>
      <c r="C5" s="50" t="s">
        <v>170</v>
      </c>
      <c r="D5" s="600" t="s">
        <v>169</v>
      </c>
      <c r="E5" s="600"/>
      <c r="J5" s="600"/>
      <c r="K5" s="50" t="s">
        <v>190</v>
      </c>
      <c r="L5" s="50" t="s">
        <v>191</v>
      </c>
      <c r="M5" s="600" t="s">
        <v>192</v>
      </c>
      <c r="N5" s="600"/>
    </row>
    <row r="6" spans="1:14" ht="15">
      <c r="A6" s="50">
        <v>1</v>
      </c>
      <c r="B6" s="71">
        <f>'F 1'!H13</f>
        <v>0.75</v>
      </c>
      <c r="C6" s="72">
        <f>'F 3'!H14</f>
        <v>1.5</v>
      </c>
      <c r="D6" s="438" t="s">
        <v>725</v>
      </c>
      <c r="E6" s="50"/>
      <c r="J6" s="50">
        <v>1</v>
      </c>
      <c r="K6" s="72">
        <f>'F6'!J12</f>
        <v>0</v>
      </c>
      <c r="L6" s="72">
        <f>'F 8'!J12</f>
        <v>0</v>
      </c>
      <c r="M6" s="50" t="s">
        <v>189</v>
      </c>
      <c r="N6" s="51"/>
    </row>
    <row r="7" spans="1:14" ht="15">
      <c r="A7" s="50">
        <f>A6+1</f>
        <v>2</v>
      </c>
      <c r="B7" s="71">
        <f>'F 1'!H14</f>
        <v>1.5</v>
      </c>
      <c r="C7" s="72">
        <f>'F 3'!H15</f>
        <v>3</v>
      </c>
      <c r="D7" s="50" t="s">
        <v>172</v>
      </c>
      <c r="E7" s="72">
        <f>'F2'!G14</f>
        <v>50</v>
      </c>
      <c r="J7" s="50">
        <f>J6+1</f>
        <v>2</v>
      </c>
      <c r="K7" s="72">
        <f>'F6'!J13</f>
        <v>0</v>
      </c>
      <c r="L7" s="72">
        <f>'F 8'!J13</f>
        <v>0</v>
      </c>
      <c r="M7" s="50" t="s">
        <v>172</v>
      </c>
      <c r="N7" s="76">
        <f>'F 7'!J12</f>
        <v>50</v>
      </c>
    </row>
    <row r="8" spans="1:14" ht="15">
      <c r="A8" s="50">
        <f aca="true" t="shared" si="0" ref="A8:A71">A7+1</f>
        <v>3</v>
      </c>
      <c r="B8" s="71">
        <f>'F 1'!H15</f>
        <v>0.75</v>
      </c>
      <c r="C8" s="72">
        <f>'F 3'!H16</f>
        <v>1.5</v>
      </c>
      <c r="D8" s="50" t="s">
        <v>171</v>
      </c>
      <c r="E8" s="72">
        <f>'F2'!G15</f>
        <v>25</v>
      </c>
      <c r="J8" s="50">
        <f aca="true" t="shared" si="1" ref="J8:J71">J7+1</f>
        <v>3</v>
      </c>
      <c r="K8" s="72">
        <f>'F6'!J14</f>
        <v>0</v>
      </c>
      <c r="L8" s="72">
        <f>'F 8'!J14</f>
        <v>0</v>
      </c>
      <c r="M8" s="50" t="s">
        <v>171</v>
      </c>
      <c r="N8" s="76">
        <f>'F 7'!J13</f>
        <v>25</v>
      </c>
    </row>
    <row r="9" spans="1:14" ht="15">
      <c r="A9" s="50">
        <f t="shared" si="0"/>
        <v>4</v>
      </c>
      <c r="B9" s="71">
        <f>'F 1'!H16</f>
        <v>0</v>
      </c>
      <c r="C9" s="72">
        <f>'F 3'!H17</f>
        <v>0</v>
      </c>
      <c r="D9" s="50" t="s">
        <v>173</v>
      </c>
      <c r="E9" s="72">
        <f>'F2'!G17</f>
        <v>22.5</v>
      </c>
      <c r="J9" s="50">
        <f t="shared" si="1"/>
        <v>4</v>
      </c>
      <c r="K9" s="72">
        <f>'F6'!J15</f>
        <v>0</v>
      </c>
      <c r="L9" s="72">
        <f>'F 8'!J15</f>
        <v>0</v>
      </c>
      <c r="M9" s="50" t="s">
        <v>173</v>
      </c>
      <c r="N9" s="76">
        <f>'F 7'!J15</f>
        <v>22.5</v>
      </c>
    </row>
    <row r="10" spans="1:14" ht="15">
      <c r="A10" s="50">
        <f t="shared" si="0"/>
        <v>5</v>
      </c>
      <c r="B10" s="71">
        <f>'F 1'!H17</f>
        <v>0.5454545454545454</v>
      </c>
      <c r="C10" s="72">
        <f>'F 3'!H18</f>
        <v>1.153846153846154</v>
      </c>
      <c r="D10" s="50" t="s">
        <v>174</v>
      </c>
      <c r="E10" s="72">
        <f>'F2'!G18</f>
        <v>22.5</v>
      </c>
      <c r="J10" s="50">
        <f t="shared" si="1"/>
        <v>5</v>
      </c>
      <c r="K10" s="72">
        <f>'F6'!J16</f>
        <v>0</v>
      </c>
      <c r="L10" s="72">
        <f>'F 8'!J16</f>
        <v>0</v>
      </c>
      <c r="M10" s="50" t="s">
        <v>174</v>
      </c>
      <c r="N10" s="76">
        <f>'F 7'!J16</f>
        <v>22.5</v>
      </c>
    </row>
    <row r="11" spans="1:14" ht="15">
      <c r="A11" s="50">
        <f t="shared" si="0"/>
        <v>6</v>
      </c>
      <c r="B11" s="71">
        <f>'F 1'!H18</f>
        <v>1.0909090909090908</v>
      </c>
      <c r="C11" s="72">
        <f>'F 3'!H19</f>
        <v>2.307692307692308</v>
      </c>
      <c r="D11" s="50" t="s">
        <v>175</v>
      </c>
      <c r="E11" s="72">
        <f>'F2'!G19</f>
        <v>22.5</v>
      </c>
      <c r="J11" s="50">
        <f t="shared" si="1"/>
        <v>6</v>
      </c>
      <c r="K11" s="72">
        <f>'F6'!J17</f>
        <v>0</v>
      </c>
      <c r="L11" s="72">
        <f>'F 8'!J17</f>
        <v>0</v>
      </c>
      <c r="M11" s="50" t="s">
        <v>175</v>
      </c>
      <c r="N11" s="76">
        <f>'F 7'!J17</f>
        <v>22.5</v>
      </c>
    </row>
    <row r="12" spans="1:14" ht="15">
      <c r="A12" s="50">
        <f t="shared" si="0"/>
        <v>7</v>
      </c>
      <c r="B12" s="71">
        <f>'F 1'!H19</f>
        <v>0</v>
      </c>
      <c r="C12" s="72">
        <f>'F 3'!H20</f>
        <v>0</v>
      </c>
      <c r="D12" s="50" t="s">
        <v>176</v>
      </c>
      <c r="E12" s="72">
        <f>'F2'!G20</f>
        <v>22.5</v>
      </c>
      <c r="J12" s="50">
        <f t="shared" si="1"/>
        <v>7</v>
      </c>
      <c r="K12" s="72">
        <f>'F6'!J18</f>
        <v>0</v>
      </c>
      <c r="L12" s="72">
        <f>'F 8'!J18</f>
        <v>0</v>
      </c>
      <c r="M12" s="50" t="s">
        <v>176</v>
      </c>
      <c r="N12" s="76">
        <f>'F 7'!J18</f>
        <v>22.5</v>
      </c>
    </row>
    <row r="13" spans="1:14" ht="15">
      <c r="A13" s="50">
        <f t="shared" si="0"/>
        <v>8</v>
      </c>
      <c r="B13" s="71">
        <f>'F 1'!H20</f>
        <v>0</v>
      </c>
      <c r="C13" s="72">
        <f>'F 3'!H21</f>
        <v>0</v>
      </c>
      <c r="D13" s="50" t="s">
        <v>177</v>
      </c>
      <c r="E13" s="72">
        <f>'F2'!G22</f>
        <v>40</v>
      </c>
      <c r="J13" s="50">
        <f t="shared" si="1"/>
        <v>8</v>
      </c>
      <c r="K13" s="72">
        <f>'F6'!J19</f>
        <v>0</v>
      </c>
      <c r="L13" s="72">
        <f>'F 8'!J19</f>
        <v>0</v>
      </c>
      <c r="M13" s="50" t="s">
        <v>177</v>
      </c>
      <c r="N13" s="76">
        <f>'F 7'!J20</f>
        <v>40</v>
      </c>
    </row>
    <row r="14" spans="1:14" ht="15">
      <c r="A14" s="50">
        <f t="shared" si="0"/>
        <v>9</v>
      </c>
      <c r="B14" s="71">
        <f>'F 1'!H21</f>
        <v>0</v>
      </c>
      <c r="C14" s="72">
        <f>'F 3'!H22</f>
        <v>0</v>
      </c>
      <c r="D14" s="50" t="s">
        <v>178</v>
      </c>
      <c r="E14" s="72">
        <f>'F2'!G23</f>
        <v>20</v>
      </c>
      <c r="J14" s="50">
        <f t="shared" si="1"/>
        <v>9</v>
      </c>
      <c r="K14" s="72">
        <f>'F6'!J20</f>
        <v>0</v>
      </c>
      <c r="L14" s="72">
        <f>'F 8'!J20</f>
        <v>0</v>
      </c>
      <c r="M14" s="50" t="s">
        <v>178</v>
      </c>
      <c r="N14" s="76">
        <f>'F 7'!J21</f>
        <v>20</v>
      </c>
    </row>
    <row r="15" spans="1:14" ht="15">
      <c r="A15" s="50">
        <f t="shared" si="0"/>
        <v>10</v>
      </c>
      <c r="B15" s="71">
        <f>'F 1'!H22</f>
        <v>3.9272727272727272</v>
      </c>
      <c r="C15" s="72">
        <f>'F 3'!H23</f>
        <v>0</v>
      </c>
      <c r="D15" s="50" t="s">
        <v>179</v>
      </c>
      <c r="E15" s="72">
        <f>'F2'!G24</f>
        <v>20</v>
      </c>
      <c r="J15" s="50">
        <f t="shared" si="1"/>
        <v>10</v>
      </c>
      <c r="K15" s="72">
        <f>'F6'!J21</f>
        <v>0</v>
      </c>
      <c r="L15" s="72">
        <f>'F 8'!J21</f>
        <v>0</v>
      </c>
      <c r="M15" s="50" t="s">
        <v>179</v>
      </c>
      <c r="N15" s="76">
        <f>'F 7'!J22</f>
        <v>20</v>
      </c>
    </row>
    <row r="16" spans="1:14" ht="15">
      <c r="A16" s="50">
        <f t="shared" si="0"/>
        <v>11</v>
      </c>
      <c r="B16" s="71">
        <f>'F 1'!H23</f>
        <v>2.618181818181818</v>
      </c>
      <c r="C16" s="72">
        <f>'F 3'!H24</f>
        <v>2.6666666666666665</v>
      </c>
      <c r="D16" s="50" t="s">
        <v>180</v>
      </c>
      <c r="E16" s="72">
        <f>'F2'!G26</f>
        <v>37.5</v>
      </c>
      <c r="J16" s="50">
        <f t="shared" si="1"/>
        <v>11</v>
      </c>
      <c r="K16" s="72">
        <f>'F6'!J22</f>
        <v>0</v>
      </c>
      <c r="L16" s="72">
        <f>'F 8'!J22</f>
        <v>0</v>
      </c>
      <c r="M16" s="50" t="s">
        <v>180</v>
      </c>
      <c r="N16" s="76">
        <f>'F 7'!J24</f>
        <v>37.5</v>
      </c>
    </row>
    <row r="17" spans="1:14" ht="15">
      <c r="A17" s="50">
        <f t="shared" si="0"/>
        <v>12</v>
      </c>
      <c r="B17" s="71">
        <f>'F 1'!H24</f>
        <v>0.9811020489357469</v>
      </c>
      <c r="C17" s="72">
        <f>'F 3'!H25</f>
        <v>2.6666666666666665</v>
      </c>
      <c r="D17" s="50" t="s">
        <v>181</v>
      </c>
      <c r="E17" s="72">
        <f>'F2'!G27</f>
        <v>37.5</v>
      </c>
      <c r="J17" s="50">
        <f t="shared" si="1"/>
        <v>12</v>
      </c>
      <c r="K17" s="72">
        <f>'F6'!J23</f>
        <v>0</v>
      </c>
      <c r="L17" s="72">
        <f>'F 8'!J23</f>
        <v>0</v>
      </c>
      <c r="M17" s="50" t="s">
        <v>181</v>
      </c>
      <c r="N17" s="76">
        <f>'F 7'!J25</f>
        <v>37.5</v>
      </c>
    </row>
    <row r="18" spans="1:14" ht="15">
      <c r="A18" s="50">
        <f t="shared" si="0"/>
        <v>13</v>
      </c>
      <c r="B18" s="71">
        <f>'F 1'!H25</f>
        <v>2.618181818181818</v>
      </c>
      <c r="C18" s="72">
        <f>'F 3'!H26</f>
        <v>2.6666666666666665</v>
      </c>
      <c r="D18" s="53" t="s">
        <v>182</v>
      </c>
      <c r="E18" s="75">
        <f>SUM(E7:E17)</f>
        <v>320</v>
      </c>
      <c r="J18" s="50">
        <f t="shared" si="1"/>
        <v>13</v>
      </c>
      <c r="K18" s="72">
        <f>'F6'!J24</f>
        <v>0</v>
      </c>
      <c r="L18" s="72">
        <f>'F 8'!J24</f>
        <v>0</v>
      </c>
      <c r="M18" s="53" t="s">
        <v>182</v>
      </c>
      <c r="N18" s="77">
        <f>SUM(N7:N17)</f>
        <v>320</v>
      </c>
    </row>
    <row r="19" spans="1:12" ht="15">
      <c r="A19" s="50">
        <f t="shared" si="0"/>
        <v>14</v>
      </c>
      <c r="B19" s="71">
        <f>'F 1'!H26</f>
        <v>1.9636363636363636</v>
      </c>
      <c r="C19" s="72">
        <f>'F 3'!H27</f>
        <v>2.6666666666666665</v>
      </c>
      <c r="J19" s="50">
        <f t="shared" si="1"/>
        <v>14</v>
      </c>
      <c r="K19" s="72">
        <f>'F6'!J25</f>
        <v>0</v>
      </c>
      <c r="L19" s="72">
        <f>'F 8'!J25</f>
        <v>0</v>
      </c>
    </row>
    <row r="20" spans="1:12" ht="15">
      <c r="A20" s="50">
        <f t="shared" si="0"/>
        <v>15</v>
      </c>
      <c r="B20" s="71">
        <f>'F 1'!H27</f>
        <v>0</v>
      </c>
      <c r="C20" s="72">
        <f>'F 3'!H28</f>
        <v>5.333333333333333</v>
      </c>
      <c r="J20" s="50">
        <f t="shared" si="1"/>
        <v>15</v>
      </c>
      <c r="K20" s="72">
        <f>'F6'!J26</f>
        <v>0</v>
      </c>
      <c r="L20" s="72">
        <f>'F 8'!J26</f>
        <v>0</v>
      </c>
    </row>
    <row r="21" spans="1:12" ht="15">
      <c r="A21" s="50">
        <f t="shared" si="0"/>
        <v>16</v>
      </c>
      <c r="B21" s="71">
        <f>'F 1'!H28</f>
        <v>1.2755244755244755</v>
      </c>
      <c r="C21" s="72">
        <f>'F 3'!H29</f>
        <v>13.818181818181818</v>
      </c>
      <c r="E21" s="608" t="s">
        <v>296</v>
      </c>
      <c r="F21" s="609"/>
      <c r="G21" s="609"/>
      <c r="H21" s="610"/>
      <c r="J21" s="50">
        <f t="shared" si="1"/>
        <v>16</v>
      </c>
      <c r="K21" s="72">
        <f>'F6'!J27</f>
        <v>0</v>
      </c>
      <c r="L21" s="72">
        <f>'F 8'!J27</f>
        <v>0</v>
      </c>
    </row>
    <row r="22" spans="1:12" ht="15">
      <c r="A22" s="50">
        <f t="shared" si="0"/>
        <v>17</v>
      </c>
      <c r="B22" s="71">
        <f>'F 1'!H29</f>
        <v>1.9636363636363636</v>
      </c>
      <c r="C22" s="72">
        <f>'F 3'!H30</f>
        <v>10.795454545454545</v>
      </c>
      <c r="E22" s="51"/>
      <c r="F22" s="50" t="s">
        <v>184</v>
      </c>
      <c r="G22" s="50" t="s">
        <v>185</v>
      </c>
      <c r="H22" s="54" t="s">
        <v>186</v>
      </c>
      <c r="J22" s="50">
        <f t="shared" si="1"/>
        <v>17</v>
      </c>
      <c r="K22" s="72">
        <f>'F6'!J28</f>
        <v>0</v>
      </c>
      <c r="L22" s="72">
        <f>'F 8'!J28</f>
        <v>0</v>
      </c>
    </row>
    <row r="23" spans="1:12" ht="15">
      <c r="A23" s="50">
        <f t="shared" si="0"/>
        <v>18</v>
      </c>
      <c r="B23" s="71">
        <f>'F 1'!H30</f>
        <v>4.712727272727273</v>
      </c>
      <c r="C23" s="72">
        <f>'F 3'!H31</f>
        <v>6.909090909090909</v>
      </c>
      <c r="E23" s="51" t="s">
        <v>183</v>
      </c>
      <c r="F23" s="72">
        <f>B110</f>
        <v>169.8534196339065</v>
      </c>
      <c r="G23" s="72">
        <v>0.75</v>
      </c>
      <c r="H23" s="72">
        <f>F23*G23</f>
        <v>127.39006472542988</v>
      </c>
      <c r="J23" s="50">
        <f t="shared" si="1"/>
        <v>18</v>
      </c>
      <c r="K23" s="72">
        <f>'F6'!J29</f>
        <v>0</v>
      </c>
      <c r="L23" s="72">
        <f>'F 8'!J29</f>
        <v>0</v>
      </c>
    </row>
    <row r="24" spans="1:12" ht="15">
      <c r="A24" s="50">
        <f t="shared" si="0"/>
        <v>19</v>
      </c>
      <c r="B24" s="71">
        <f>'F 1'!H31</f>
        <v>3.9272727272727272</v>
      </c>
      <c r="C24" s="72">
        <f>'F 3'!H32</f>
        <v>5.181818181818182</v>
      </c>
      <c r="E24" s="51" t="s">
        <v>169</v>
      </c>
      <c r="F24" s="72">
        <f>E18</f>
        <v>320</v>
      </c>
      <c r="G24" s="72">
        <v>0.1</v>
      </c>
      <c r="H24" s="72">
        <f>F24*G24</f>
        <v>32</v>
      </c>
      <c r="J24" s="50">
        <f t="shared" si="1"/>
        <v>19</v>
      </c>
      <c r="K24" s="72">
        <f>'F6'!J30</f>
        <v>0</v>
      </c>
      <c r="L24" s="72">
        <f>'F 8'!J30</f>
        <v>0</v>
      </c>
    </row>
    <row r="25" spans="1:12" ht="15">
      <c r="A25" s="50">
        <f t="shared" si="0"/>
        <v>20</v>
      </c>
      <c r="B25" s="71">
        <f>'F 1'!H32</f>
        <v>1.309090909090909</v>
      </c>
      <c r="C25" s="72">
        <f>'F 3'!H33</f>
        <v>1.6666666666666665</v>
      </c>
      <c r="E25" s="51" t="s">
        <v>170</v>
      </c>
      <c r="F25" s="72">
        <f>C110</f>
        <v>132.36435977815282</v>
      </c>
      <c r="G25" s="72">
        <v>0.15</v>
      </c>
      <c r="H25" s="72">
        <f>F25*G25</f>
        <v>19.85465396672292</v>
      </c>
      <c r="J25" s="50">
        <f t="shared" si="1"/>
        <v>20</v>
      </c>
      <c r="K25" s="72">
        <f>'F6'!J31</f>
        <v>0</v>
      </c>
      <c r="L25" s="72">
        <f>'F 8'!J31</f>
        <v>0</v>
      </c>
    </row>
    <row r="26" spans="1:12" ht="15">
      <c r="A26" s="50">
        <f t="shared" si="0"/>
        <v>21</v>
      </c>
      <c r="B26" s="71">
        <f>'F 1'!H33</f>
        <v>2.618181818181818</v>
      </c>
      <c r="C26" s="72">
        <f>'F 3'!H34</f>
        <v>5</v>
      </c>
      <c r="E26" s="603" t="s">
        <v>74</v>
      </c>
      <c r="F26" s="604"/>
      <c r="G26" s="453"/>
      <c r="H26" s="72">
        <f>SUM(H23:H25)</f>
        <v>179.2447186921528</v>
      </c>
      <c r="J26" s="50">
        <f t="shared" si="1"/>
        <v>21</v>
      </c>
      <c r="K26" s="72">
        <f>'F6'!J32</f>
        <v>0</v>
      </c>
      <c r="L26" s="72">
        <f>'F 8'!J32</f>
        <v>0</v>
      </c>
    </row>
    <row r="27" spans="1:12" ht="18.75">
      <c r="A27" s="50">
        <f t="shared" si="0"/>
        <v>22</v>
      </c>
      <c r="B27" s="71">
        <f>'F 1'!H34</f>
        <v>1.309090909090909</v>
      </c>
      <c r="C27" s="72">
        <f>'F 3'!H35</f>
        <v>4.583333333333333</v>
      </c>
      <c r="E27" s="605" t="s">
        <v>295</v>
      </c>
      <c r="F27" s="606"/>
      <c r="G27" s="607"/>
      <c r="H27" s="55" t="str">
        <f>IF(H26&gt;=200,"Lolos","Tidak lolos")</f>
        <v>Tidak lolos</v>
      </c>
      <c r="J27" s="50">
        <f t="shared" si="1"/>
        <v>22</v>
      </c>
      <c r="K27" s="72">
        <f>'F6'!J33</f>
        <v>0</v>
      </c>
      <c r="L27" s="72">
        <f>'F 8'!J33</f>
        <v>0</v>
      </c>
    </row>
    <row r="28" spans="1:12" ht="15">
      <c r="A28" s="50">
        <f t="shared" si="0"/>
        <v>23</v>
      </c>
      <c r="B28" s="71">
        <f>'F 1'!H35</f>
        <v>2.618181818181818</v>
      </c>
      <c r="C28" s="72">
        <f>'F 3'!H36</f>
        <v>0</v>
      </c>
      <c r="J28" s="50">
        <f t="shared" si="1"/>
        <v>23</v>
      </c>
      <c r="K28" s="72">
        <f>'F6'!J34</f>
        <v>0</v>
      </c>
      <c r="L28" s="72">
        <f>'F 8'!J34</f>
        <v>0</v>
      </c>
    </row>
    <row r="29" spans="1:12" ht="15">
      <c r="A29" s="50">
        <f t="shared" si="0"/>
        <v>24</v>
      </c>
      <c r="B29" s="71">
        <f>'F 1'!H36</f>
        <v>0</v>
      </c>
      <c r="C29" s="72">
        <f>'F 3'!H37</f>
        <v>0</v>
      </c>
      <c r="J29" s="50">
        <f t="shared" si="1"/>
        <v>24</v>
      </c>
      <c r="K29" s="72">
        <f>'F6'!J35</f>
        <v>0</v>
      </c>
      <c r="L29" s="72">
        <f>'F 8'!J35</f>
        <v>0</v>
      </c>
    </row>
    <row r="30" spans="1:12" ht="15">
      <c r="A30" s="50">
        <f t="shared" si="0"/>
        <v>25</v>
      </c>
      <c r="B30" s="71">
        <f>'F 1'!H37</f>
        <v>0</v>
      </c>
      <c r="C30" s="72">
        <f>'F 3'!H38</f>
        <v>7.448275862068965</v>
      </c>
      <c r="E30" s="29"/>
      <c r="J30" s="50">
        <f t="shared" si="1"/>
        <v>25</v>
      </c>
      <c r="K30" s="72">
        <f>'F6'!J36</f>
        <v>0</v>
      </c>
      <c r="L30" s="72">
        <f>'F 8'!J36</f>
        <v>0</v>
      </c>
    </row>
    <row r="31" spans="1:12" ht="15">
      <c r="A31" s="50">
        <f t="shared" si="0"/>
        <v>26</v>
      </c>
      <c r="B31" s="71">
        <f>'F 1'!H38</f>
        <v>0</v>
      </c>
      <c r="C31" s="72">
        <f>'F 3'!H39</f>
        <v>0</v>
      </c>
      <c r="E31" s="608" t="s">
        <v>297</v>
      </c>
      <c r="F31" s="609"/>
      <c r="G31" s="609"/>
      <c r="H31" s="610"/>
      <c r="J31" s="50">
        <f t="shared" si="1"/>
        <v>26</v>
      </c>
      <c r="K31" s="72">
        <f>'F6'!J37</f>
        <v>0</v>
      </c>
      <c r="L31" s="72">
        <f>'F 8'!J37</f>
        <v>0</v>
      </c>
    </row>
    <row r="32" spans="1:12" ht="15">
      <c r="A32" s="50">
        <f t="shared" si="0"/>
        <v>27</v>
      </c>
      <c r="B32" s="71">
        <f>'F 1'!H39</f>
        <v>1.9636363636363636</v>
      </c>
      <c r="C32" s="72">
        <f>'F 3'!H40</f>
        <v>0.9310344827586207</v>
      </c>
      <c r="E32" s="51" t="s">
        <v>190</v>
      </c>
      <c r="F32" s="72">
        <f>K110</f>
        <v>0</v>
      </c>
      <c r="G32" s="68">
        <v>0.75</v>
      </c>
      <c r="H32" s="68">
        <f>F32*G32</f>
        <v>0</v>
      </c>
      <c r="J32" s="50">
        <f t="shared" si="1"/>
        <v>27</v>
      </c>
      <c r="K32" s="72">
        <f>'F6'!J38</f>
        <v>0</v>
      </c>
      <c r="L32" s="72">
        <f>'F 8'!J38</f>
        <v>0</v>
      </c>
    </row>
    <row r="33" spans="1:12" ht="15">
      <c r="A33" s="50">
        <f t="shared" si="0"/>
        <v>28</v>
      </c>
      <c r="B33" s="71">
        <f>'F 1'!H40</f>
        <v>1.4838709677419355</v>
      </c>
      <c r="C33" s="72">
        <f>'F 3'!H41</f>
        <v>3.7241379310344827</v>
      </c>
      <c r="E33" s="51" t="s">
        <v>192</v>
      </c>
      <c r="F33" s="72">
        <f>N18</f>
        <v>320</v>
      </c>
      <c r="G33" s="68">
        <v>0.1</v>
      </c>
      <c r="H33" s="68">
        <f>F33*G33</f>
        <v>32</v>
      </c>
      <c r="J33" s="50">
        <f t="shared" si="1"/>
        <v>28</v>
      </c>
      <c r="K33" s="72">
        <f>'F6'!J39</f>
        <v>0</v>
      </c>
      <c r="L33" s="72">
        <f>'F 8'!J39</f>
        <v>0</v>
      </c>
    </row>
    <row r="34" spans="1:12" ht="15">
      <c r="A34" s="50">
        <f t="shared" si="0"/>
        <v>29</v>
      </c>
      <c r="B34" s="71">
        <f>'F 1'!H41</f>
        <v>2.225806451612903</v>
      </c>
      <c r="C34" s="72">
        <f>'F 3'!H42</f>
        <v>5.586206896551724</v>
      </c>
      <c r="E34" s="51" t="s">
        <v>191</v>
      </c>
      <c r="F34" s="72">
        <f>L110</f>
        <v>0</v>
      </c>
      <c r="G34" s="68">
        <v>0.15</v>
      </c>
      <c r="H34" s="68">
        <f>F34*G34</f>
        <v>0</v>
      </c>
      <c r="J34" s="50">
        <f t="shared" si="1"/>
        <v>29</v>
      </c>
      <c r="K34" s="72">
        <f>'F6'!J40</f>
        <v>0</v>
      </c>
      <c r="L34" s="72">
        <f>'F 8'!J40</f>
        <v>0</v>
      </c>
    </row>
    <row r="35" spans="1:12" ht="15.75">
      <c r="A35" s="50">
        <f t="shared" si="0"/>
        <v>30</v>
      </c>
      <c r="B35" s="71">
        <f>'F 1'!H42</f>
        <v>2.967741935483871</v>
      </c>
      <c r="C35" s="72">
        <f>'F 3'!H43</f>
        <v>1.8620689655172413</v>
      </c>
      <c r="E35" s="605" t="s">
        <v>193</v>
      </c>
      <c r="F35" s="606"/>
      <c r="G35" s="607"/>
      <c r="H35" s="50">
        <f>SUM(H32:H34)</f>
        <v>32</v>
      </c>
      <c r="J35" s="50">
        <f t="shared" si="1"/>
        <v>30</v>
      </c>
      <c r="K35" s="72">
        <f>'F6'!J41</f>
        <v>0</v>
      </c>
      <c r="L35" s="72">
        <f>'F 8'!J41</f>
        <v>0</v>
      </c>
    </row>
    <row r="36" spans="1:12" ht="15.75" customHeight="1">
      <c r="A36" s="50">
        <f t="shared" si="0"/>
        <v>31</v>
      </c>
      <c r="B36" s="71">
        <f>'F 1'!H43</f>
        <v>4.14247311827957</v>
      </c>
      <c r="C36" s="72">
        <f>'F 3'!H44</f>
        <v>2.793103448275862</v>
      </c>
      <c r="E36" s="613" t="s">
        <v>187</v>
      </c>
      <c r="F36" s="614"/>
      <c r="G36" s="615"/>
      <c r="H36" s="611" t="str">
        <f>IF(H35&gt;=361,"A",IF(H35&gt;=300,"B",IF(H35&gt;=200,"C","TDK TERAKREDITASI")))</f>
        <v>TDK TERAKREDITASI</v>
      </c>
      <c r="J36" s="50">
        <f t="shared" si="1"/>
        <v>31</v>
      </c>
      <c r="K36" s="72">
        <f>'F6'!J42</f>
        <v>0</v>
      </c>
      <c r="L36" s="72">
        <f>'F 8'!J42</f>
        <v>0</v>
      </c>
    </row>
    <row r="37" spans="1:12" ht="15">
      <c r="A37" s="50">
        <f t="shared" si="0"/>
        <v>32</v>
      </c>
      <c r="B37" s="71">
        <f>'F 1'!H44</f>
        <v>0.24731182795698925</v>
      </c>
      <c r="C37" s="72">
        <f>'F 3'!H45</f>
        <v>0.9310344827586207</v>
      </c>
      <c r="E37" s="616"/>
      <c r="F37" s="617"/>
      <c r="G37" s="618"/>
      <c r="H37" s="612"/>
      <c r="J37" s="50">
        <f t="shared" si="1"/>
        <v>32</v>
      </c>
      <c r="K37" s="72">
        <f>'F6'!J43</f>
        <v>0</v>
      </c>
      <c r="L37" s="72">
        <f>'F 8'!J43</f>
        <v>0</v>
      </c>
    </row>
    <row r="38" spans="1:12" ht="15">
      <c r="A38" s="50">
        <f t="shared" si="0"/>
        <v>33</v>
      </c>
      <c r="B38" s="71">
        <f>'F 1'!H45</f>
        <v>2.618595825426945</v>
      </c>
      <c r="C38" s="72">
        <f>'F 3'!H46</f>
        <v>1.8620689655172413</v>
      </c>
      <c r="J38" s="50">
        <f t="shared" si="1"/>
        <v>33</v>
      </c>
      <c r="K38" s="72">
        <f>'F6'!J44</f>
        <v>0</v>
      </c>
      <c r="L38" s="72">
        <f>'F 8'!J44</f>
        <v>0</v>
      </c>
    </row>
    <row r="39" spans="1:12" ht="15">
      <c r="A39" s="50">
        <f t="shared" si="0"/>
        <v>34</v>
      </c>
      <c r="B39" s="71">
        <f>'F 1'!H46</f>
        <v>2.086693548387097</v>
      </c>
      <c r="C39" s="72">
        <f>'F 3'!H47</f>
        <v>1.8620689655172413</v>
      </c>
      <c r="J39" s="50">
        <f t="shared" si="1"/>
        <v>34</v>
      </c>
      <c r="K39" s="72">
        <f>'F6'!J45</f>
        <v>0</v>
      </c>
      <c r="L39" s="72">
        <f>'F 8'!J45</f>
        <v>0</v>
      </c>
    </row>
    <row r="40" spans="1:12" ht="15">
      <c r="A40" s="50">
        <f t="shared" si="0"/>
        <v>35</v>
      </c>
      <c r="B40" s="71">
        <f>'F 1'!H47</f>
        <v>2.967741935483871</v>
      </c>
      <c r="C40" s="72">
        <f>'F 3'!H48</f>
        <v>3.7241379310344827</v>
      </c>
      <c r="J40" s="50">
        <f t="shared" si="1"/>
        <v>35</v>
      </c>
      <c r="K40" s="72">
        <f>'F6'!J46</f>
        <v>0</v>
      </c>
      <c r="L40" s="72">
        <f>'F 8'!J46</f>
        <v>0</v>
      </c>
    </row>
    <row r="41" spans="1:12" ht="15">
      <c r="A41" s="50">
        <f t="shared" si="0"/>
        <v>36</v>
      </c>
      <c r="B41" s="71">
        <f>'F 1'!H48</f>
        <v>2.967741935483871</v>
      </c>
      <c r="C41" s="72">
        <f>'F 3'!H49</f>
        <v>3.5689655172413794</v>
      </c>
      <c r="J41" s="50">
        <f t="shared" si="1"/>
        <v>36</v>
      </c>
      <c r="K41" s="72">
        <f>'F6'!J47</f>
        <v>0</v>
      </c>
      <c r="L41" s="72">
        <f>'F 8'!J47</f>
        <v>0</v>
      </c>
    </row>
    <row r="42" spans="1:12" ht="15">
      <c r="A42" s="50">
        <f t="shared" si="0"/>
        <v>37</v>
      </c>
      <c r="B42" s="71">
        <f>'F 1'!H49</f>
        <v>2.967741935483871</v>
      </c>
      <c r="C42" s="72">
        <f>'F 3'!H50</f>
        <v>1.8620689655172413</v>
      </c>
      <c r="J42" s="50">
        <f t="shared" si="1"/>
        <v>37</v>
      </c>
      <c r="K42" s="72">
        <f>'F6'!J48</f>
        <v>0</v>
      </c>
      <c r="L42" s="72">
        <f>'F 8'!J48</f>
        <v>0</v>
      </c>
    </row>
    <row r="43" spans="1:12" ht="15">
      <c r="A43" s="50">
        <f>A42+1</f>
        <v>38</v>
      </c>
      <c r="B43" s="71">
        <f>'F 1'!H50</f>
        <v>1.4838709677419355</v>
      </c>
      <c r="C43" s="72">
        <f>'F 3'!H51</f>
        <v>2.793103448275862</v>
      </c>
      <c r="J43" s="50">
        <f t="shared" si="1"/>
        <v>38</v>
      </c>
      <c r="K43" s="72">
        <f>'F6'!J49</f>
        <v>0</v>
      </c>
      <c r="L43" s="72">
        <f>'F 8'!J49</f>
        <v>0</v>
      </c>
    </row>
    <row r="44" spans="1:12" ht="15">
      <c r="A44" s="50">
        <f t="shared" si="0"/>
        <v>39</v>
      </c>
      <c r="B44" s="71">
        <f>'F 1'!H51</f>
        <v>1.2365591397849465</v>
      </c>
      <c r="C44" s="72">
        <f>'F 3'!H52</f>
        <v>1.6</v>
      </c>
      <c r="J44" s="50">
        <f t="shared" si="1"/>
        <v>39</v>
      </c>
      <c r="K44" s="72">
        <f>'F6'!J50</f>
        <v>0</v>
      </c>
      <c r="L44" s="72">
        <f>'F 8'!J50</f>
        <v>0</v>
      </c>
    </row>
    <row r="45" spans="1:12" ht="15">
      <c r="A45" s="50">
        <f t="shared" si="0"/>
        <v>40</v>
      </c>
      <c r="B45" s="71">
        <f>'F 1'!H52</f>
        <v>0</v>
      </c>
      <c r="C45" s="72">
        <f>'F 3'!H53</f>
        <v>1.6</v>
      </c>
      <c r="J45" s="50">
        <f t="shared" si="1"/>
        <v>40</v>
      </c>
      <c r="K45" s="72">
        <f>'F6'!J51</f>
        <v>0</v>
      </c>
      <c r="L45" s="72">
        <f>'F 8'!J51</f>
        <v>0</v>
      </c>
    </row>
    <row r="46" spans="1:12" ht="15">
      <c r="A46" s="50">
        <f t="shared" si="0"/>
        <v>41</v>
      </c>
      <c r="B46" s="71">
        <f>'F 1'!H53</f>
        <v>0.7419354838709677</v>
      </c>
      <c r="C46" s="72">
        <f>'F 3'!H54</f>
        <v>1.6</v>
      </c>
      <c r="J46" s="50">
        <f t="shared" si="1"/>
        <v>41</v>
      </c>
      <c r="K46" s="72">
        <f>'F6'!J52</f>
        <v>0</v>
      </c>
      <c r="L46" s="72">
        <f>'F 8'!J52</f>
        <v>0</v>
      </c>
    </row>
    <row r="47" spans="1:12" ht="15">
      <c r="A47" s="50">
        <f t="shared" si="0"/>
        <v>42</v>
      </c>
      <c r="B47" s="71">
        <f>'F 1'!H54</f>
        <v>1.4838709677419355</v>
      </c>
      <c r="C47" s="72">
        <f>'F 3'!H55</f>
        <v>2.4000000000000004</v>
      </c>
      <c r="J47" s="50">
        <f t="shared" si="1"/>
        <v>42</v>
      </c>
      <c r="K47" s="72">
        <f>'F6'!J53</f>
        <v>0</v>
      </c>
      <c r="L47" s="72">
        <f>'F 8'!J53</f>
        <v>0</v>
      </c>
    </row>
    <row r="48" spans="1:12" ht="15">
      <c r="A48" s="50">
        <f t="shared" si="0"/>
        <v>43</v>
      </c>
      <c r="B48" s="71">
        <f>'F 1'!H55</f>
        <v>5.935483870967742</v>
      </c>
      <c r="C48" s="72">
        <f>'F 3'!H56</f>
        <v>1.6</v>
      </c>
      <c r="J48" s="50">
        <f t="shared" si="1"/>
        <v>43</v>
      </c>
      <c r="K48" s="72">
        <f>'F6'!J54</f>
        <v>0</v>
      </c>
      <c r="L48" s="72">
        <f>'F 8'!J54</f>
        <v>0</v>
      </c>
    </row>
    <row r="49" spans="1:12" ht="15">
      <c r="A49" s="50">
        <f t="shared" si="0"/>
        <v>44</v>
      </c>
      <c r="B49" s="71">
        <f>'F 1'!H56</f>
        <v>2.4576612903225805</v>
      </c>
      <c r="C49" s="72">
        <f>'F 3'!H57</f>
        <v>3.2</v>
      </c>
      <c r="J49" s="50">
        <f t="shared" si="1"/>
        <v>44</v>
      </c>
      <c r="K49" s="72">
        <f>'F6'!J55</f>
        <v>0</v>
      </c>
      <c r="L49" s="72">
        <f>'F 8'!J55</f>
        <v>0</v>
      </c>
    </row>
    <row r="50" spans="1:12" ht="15">
      <c r="A50" s="50">
        <f t="shared" si="0"/>
        <v>45</v>
      </c>
      <c r="B50" s="71">
        <f>'F 1'!H57</f>
        <v>0</v>
      </c>
      <c r="C50" s="72">
        <f>'F 3'!H58</f>
        <v>4.800000000000001</v>
      </c>
      <c r="J50" s="50">
        <f t="shared" si="1"/>
        <v>45</v>
      </c>
      <c r="K50" s="72">
        <f>'F6'!J56</f>
        <v>0</v>
      </c>
      <c r="L50" s="72">
        <f>'F 8'!J56</f>
        <v>0</v>
      </c>
    </row>
    <row r="51" spans="1:12" ht="15">
      <c r="A51" s="50">
        <f t="shared" si="0"/>
        <v>46</v>
      </c>
      <c r="B51" s="71">
        <f>'F 1'!H58</f>
        <v>1.8548387096774195</v>
      </c>
      <c r="C51" s="72">
        <f>'F 3'!H59</f>
        <v>3.2</v>
      </c>
      <c r="J51" s="50">
        <f t="shared" si="1"/>
        <v>46</v>
      </c>
      <c r="K51" s="72">
        <f>'F6'!J57</f>
        <v>0</v>
      </c>
      <c r="L51" s="72">
        <f>'F 8'!J57</f>
        <v>0</v>
      </c>
    </row>
    <row r="52" spans="1:12" ht="15">
      <c r="A52" s="50">
        <f t="shared" si="0"/>
        <v>47</v>
      </c>
      <c r="B52" s="71">
        <f>'F 1'!H59</f>
        <v>1.1129032258064515</v>
      </c>
      <c r="C52" s="73"/>
      <c r="J52" s="50">
        <f t="shared" si="1"/>
        <v>47</v>
      </c>
      <c r="K52" s="72">
        <f>'F6'!J58</f>
        <v>0</v>
      </c>
      <c r="L52" s="74"/>
    </row>
    <row r="53" spans="1:12" ht="15">
      <c r="A53" s="50">
        <f t="shared" si="0"/>
        <v>48</v>
      </c>
      <c r="B53" s="71">
        <f>'F 1'!H60</f>
        <v>5.935483870967742</v>
      </c>
      <c r="C53" s="74"/>
      <c r="J53" s="50">
        <f t="shared" si="1"/>
        <v>48</v>
      </c>
      <c r="K53" s="72">
        <f>'F6'!J59</f>
        <v>0</v>
      </c>
      <c r="L53" s="74"/>
    </row>
    <row r="54" spans="1:12" ht="15">
      <c r="A54" s="50">
        <f t="shared" si="0"/>
        <v>49</v>
      </c>
      <c r="B54" s="71">
        <f>'F 1'!H61</f>
        <v>2.967741935483871</v>
      </c>
      <c r="C54" s="74"/>
      <c r="J54" s="50">
        <f t="shared" si="1"/>
        <v>49</v>
      </c>
      <c r="K54" s="72">
        <f>'F6'!J60</f>
        <v>0</v>
      </c>
      <c r="L54" s="74"/>
    </row>
    <row r="55" spans="1:12" ht="15">
      <c r="A55" s="50">
        <f t="shared" si="0"/>
        <v>50</v>
      </c>
      <c r="B55" s="71">
        <f>'F 1'!H62</f>
        <v>0.7419354838709677</v>
      </c>
      <c r="C55" s="74"/>
      <c r="J55" s="50">
        <f t="shared" si="1"/>
        <v>50</v>
      </c>
      <c r="K55" s="72">
        <f>'F6'!J61</f>
        <v>0</v>
      </c>
      <c r="L55" s="74"/>
    </row>
    <row r="56" spans="1:12" ht="15">
      <c r="A56" s="50">
        <f t="shared" si="0"/>
        <v>51</v>
      </c>
      <c r="B56" s="71">
        <f>'F 1'!H63</f>
        <v>1.0256410256410255</v>
      </c>
      <c r="C56" s="74"/>
      <c r="J56" s="50">
        <f t="shared" si="1"/>
        <v>51</v>
      </c>
      <c r="K56" s="72">
        <f>'F6'!J62</f>
        <v>0</v>
      </c>
      <c r="L56" s="74"/>
    </row>
    <row r="57" spans="1:12" ht="15">
      <c r="A57" s="50">
        <f t="shared" si="0"/>
        <v>52</v>
      </c>
      <c r="B57" s="71">
        <f>'F 1'!H64</f>
        <v>0.5128205128205128</v>
      </c>
      <c r="C57" s="74"/>
      <c r="J57" s="50">
        <f t="shared" si="1"/>
        <v>52</v>
      </c>
      <c r="K57" s="72">
        <f>'F6'!J63</f>
        <v>0</v>
      </c>
      <c r="L57" s="74"/>
    </row>
    <row r="58" spans="1:12" ht="15">
      <c r="A58" s="50">
        <f t="shared" si="0"/>
        <v>53</v>
      </c>
      <c r="B58" s="71">
        <f>'F 1'!H65</f>
        <v>3.0769230769230766</v>
      </c>
      <c r="C58" s="74"/>
      <c r="J58" s="50">
        <f t="shared" si="1"/>
        <v>53</v>
      </c>
      <c r="K58" s="72">
        <f>'F6'!J64</f>
        <v>0</v>
      </c>
      <c r="L58" s="74"/>
    </row>
    <row r="59" spans="1:12" ht="15">
      <c r="A59" s="50">
        <f t="shared" si="0"/>
        <v>54</v>
      </c>
      <c r="B59" s="71">
        <f>'F 1'!H66</f>
        <v>6.153846153846154</v>
      </c>
      <c r="C59" s="74"/>
      <c r="J59" s="50">
        <f t="shared" si="1"/>
        <v>54</v>
      </c>
      <c r="K59" s="72">
        <f>'F6'!J65</f>
        <v>0</v>
      </c>
      <c r="L59" s="74"/>
    </row>
    <row r="60" spans="1:12" ht="15">
      <c r="A60" s="50">
        <f t="shared" si="0"/>
        <v>55</v>
      </c>
      <c r="B60" s="71">
        <f>'F 1'!H67</f>
        <v>0.34188034188034183</v>
      </c>
      <c r="C60" s="74"/>
      <c r="J60" s="50">
        <f t="shared" si="1"/>
        <v>55</v>
      </c>
      <c r="K60" s="72">
        <f>'F6'!J66</f>
        <v>0</v>
      </c>
      <c r="L60" s="74"/>
    </row>
    <row r="61" spans="1:12" ht="15">
      <c r="A61" s="50">
        <f t="shared" si="0"/>
        <v>56</v>
      </c>
      <c r="B61" s="71">
        <f>'F 1'!H68</f>
        <v>2.051282051282051</v>
      </c>
      <c r="C61" s="74"/>
      <c r="J61" s="50">
        <f t="shared" si="1"/>
        <v>56</v>
      </c>
      <c r="K61" s="72">
        <f>'F6'!J67</f>
        <v>0</v>
      </c>
      <c r="L61" s="74"/>
    </row>
    <row r="62" spans="1:12" ht="15">
      <c r="A62" s="50">
        <f t="shared" si="0"/>
        <v>57</v>
      </c>
      <c r="B62" s="71">
        <f>'F 1'!H69</f>
        <v>1.5384615384615385</v>
      </c>
      <c r="C62" s="74"/>
      <c r="J62" s="50">
        <f t="shared" si="1"/>
        <v>57</v>
      </c>
      <c r="K62" s="72">
        <f>'F6'!J68</f>
        <v>0</v>
      </c>
      <c r="L62" s="74"/>
    </row>
    <row r="63" spans="1:12" ht="15">
      <c r="A63" s="50">
        <f t="shared" si="0"/>
        <v>58</v>
      </c>
      <c r="B63" s="71">
        <f>'F 1'!H70</f>
        <v>2.051282051282051</v>
      </c>
      <c r="C63" s="74"/>
      <c r="J63" s="50">
        <f t="shared" si="1"/>
        <v>58</v>
      </c>
      <c r="K63" s="72">
        <f>'F6'!J69</f>
        <v>0</v>
      </c>
      <c r="L63" s="74"/>
    </row>
    <row r="64" spans="1:12" ht="15">
      <c r="A64" s="50">
        <f t="shared" si="0"/>
        <v>59</v>
      </c>
      <c r="B64" s="71">
        <f>'F 1'!H71</f>
        <v>3.6813186813186816</v>
      </c>
      <c r="C64" s="74"/>
      <c r="J64" s="50">
        <f t="shared" si="1"/>
        <v>59</v>
      </c>
      <c r="K64" s="72">
        <f>'F6'!J70</f>
        <v>0</v>
      </c>
      <c r="L64" s="74"/>
    </row>
    <row r="65" spans="1:12" ht="15">
      <c r="A65" s="50">
        <f t="shared" si="0"/>
        <v>60</v>
      </c>
      <c r="B65" s="71">
        <f>'F 1'!H72</f>
        <v>0</v>
      </c>
      <c r="C65" s="74"/>
      <c r="J65" s="50">
        <f t="shared" si="1"/>
        <v>60</v>
      </c>
      <c r="K65" s="72">
        <f>'F6'!J71</f>
        <v>0</v>
      </c>
      <c r="L65" s="74"/>
    </row>
    <row r="66" spans="1:12" ht="15">
      <c r="A66" s="50">
        <f t="shared" si="0"/>
        <v>61</v>
      </c>
      <c r="B66" s="71">
        <f>'F 1'!H73</f>
        <v>0</v>
      </c>
      <c r="C66" s="74"/>
      <c r="J66" s="50">
        <f t="shared" si="1"/>
        <v>61</v>
      </c>
      <c r="K66" s="72">
        <f>'F6'!J72</f>
        <v>0</v>
      </c>
      <c r="L66" s="74"/>
    </row>
    <row r="67" spans="1:12" ht="15">
      <c r="A67" s="50">
        <f t="shared" si="0"/>
        <v>62</v>
      </c>
      <c r="B67" s="71">
        <f>'F 1'!H74</f>
        <v>0</v>
      </c>
      <c r="C67" s="74"/>
      <c r="J67" s="50">
        <f t="shared" si="1"/>
        <v>62</v>
      </c>
      <c r="K67" s="72">
        <f>'F6'!J73</f>
        <v>0</v>
      </c>
      <c r="L67" s="74"/>
    </row>
    <row r="68" spans="1:12" ht="15">
      <c r="A68" s="50">
        <f t="shared" si="0"/>
        <v>63</v>
      </c>
      <c r="B68" s="71">
        <f>'F 1'!H75</f>
        <v>1.5384615384615383</v>
      </c>
      <c r="C68" s="74"/>
      <c r="J68" s="50">
        <f t="shared" si="1"/>
        <v>63</v>
      </c>
      <c r="K68" s="72">
        <f>'F6'!J74</f>
        <v>0</v>
      </c>
      <c r="L68" s="74"/>
    </row>
    <row r="69" spans="1:12" ht="15">
      <c r="A69" s="50">
        <f>A68+1</f>
        <v>64</v>
      </c>
      <c r="B69" s="71">
        <f>'F 1'!H76</f>
        <v>1.5384615384615383</v>
      </c>
      <c r="C69" s="74"/>
      <c r="J69" s="50">
        <f t="shared" si="1"/>
        <v>64</v>
      </c>
      <c r="K69" s="72">
        <f>'F6'!J75</f>
        <v>0</v>
      </c>
      <c r="L69" s="74"/>
    </row>
    <row r="70" spans="1:12" ht="15">
      <c r="A70" s="50">
        <f t="shared" si="0"/>
        <v>65</v>
      </c>
      <c r="B70" s="71">
        <f>'F 1'!H77</f>
        <v>0</v>
      </c>
      <c r="C70" s="74"/>
      <c r="J70" s="50">
        <f t="shared" si="1"/>
        <v>65</v>
      </c>
      <c r="K70" s="72">
        <f>'F6'!J76</f>
        <v>0</v>
      </c>
      <c r="L70" s="74"/>
    </row>
    <row r="71" spans="1:12" ht="15">
      <c r="A71" s="50">
        <f t="shared" si="0"/>
        <v>66</v>
      </c>
      <c r="B71" s="71">
        <f>'F 1'!H78</f>
        <v>0</v>
      </c>
      <c r="C71" s="74"/>
      <c r="J71" s="50">
        <f t="shared" si="1"/>
        <v>66</v>
      </c>
      <c r="K71" s="72">
        <f>'F6'!J77</f>
        <v>0</v>
      </c>
      <c r="L71" s="74"/>
    </row>
    <row r="72" spans="1:12" ht="15">
      <c r="A72" s="50">
        <f aca="true" t="shared" si="2" ref="A72:A92">A71+1</f>
        <v>67</v>
      </c>
      <c r="B72" s="71">
        <f>'F 1'!H79</f>
        <v>1.0256410256410255</v>
      </c>
      <c r="C72" s="74"/>
      <c r="J72" s="50">
        <f aca="true" t="shared" si="3" ref="J72:J108">J71+1</f>
        <v>67</v>
      </c>
      <c r="K72" s="72">
        <f>'F6'!J78</f>
        <v>0</v>
      </c>
      <c r="L72" s="74"/>
    </row>
    <row r="73" spans="1:12" ht="15">
      <c r="A73" s="50">
        <f t="shared" si="2"/>
        <v>68</v>
      </c>
      <c r="B73" s="71">
        <f>'F 1'!H80</f>
        <v>0</v>
      </c>
      <c r="C73" s="74"/>
      <c r="J73" s="50">
        <f t="shared" si="3"/>
        <v>68</v>
      </c>
      <c r="K73" s="72">
        <f>'F6'!J79</f>
        <v>0</v>
      </c>
      <c r="L73" s="74"/>
    </row>
    <row r="74" spans="1:12" ht="15">
      <c r="A74" s="50">
        <f t="shared" si="2"/>
        <v>69</v>
      </c>
      <c r="B74" s="71">
        <f>'F 1'!H81</f>
        <v>1.282051282051282</v>
      </c>
      <c r="C74" s="74"/>
      <c r="J74" s="50">
        <f t="shared" si="3"/>
        <v>69</v>
      </c>
      <c r="K74" s="72">
        <f>'F6'!J80</f>
        <v>0</v>
      </c>
      <c r="L74" s="74"/>
    </row>
    <row r="75" spans="1:12" ht="15">
      <c r="A75" s="50">
        <f t="shared" si="2"/>
        <v>70</v>
      </c>
      <c r="B75" s="71">
        <f>'F 1'!H82</f>
        <v>2.051282051282051</v>
      </c>
      <c r="C75" s="74"/>
      <c r="J75" s="50">
        <f t="shared" si="3"/>
        <v>70</v>
      </c>
      <c r="K75" s="72">
        <f>'F6'!J81</f>
        <v>0</v>
      </c>
      <c r="L75" s="74"/>
    </row>
    <row r="76" spans="1:12" ht="15">
      <c r="A76" s="50">
        <f t="shared" si="2"/>
        <v>71</v>
      </c>
      <c r="B76" s="71">
        <f>'F 1'!H83</f>
        <v>0</v>
      </c>
      <c r="C76" s="74"/>
      <c r="J76" s="50">
        <f t="shared" si="3"/>
        <v>71</v>
      </c>
      <c r="K76" s="72">
        <f>'F6'!J82</f>
        <v>0</v>
      </c>
      <c r="L76" s="74"/>
    </row>
    <row r="77" spans="1:12" ht="15">
      <c r="A77" s="50">
        <f t="shared" si="2"/>
        <v>72</v>
      </c>
      <c r="B77" s="71">
        <f>'F 1'!H84</f>
        <v>0</v>
      </c>
      <c r="C77" s="74"/>
      <c r="J77" s="50">
        <f t="shared" si="3"/>
        <v>72</v>
      </c>
      <c r="K77" s="72">
        <f>'F6'!J83</f>
        <v>0</v>
      </c>
      <c r="L77" s="74"/>
    </row>
    <row r="78" spans="1:12" ht="15">
      <c r="A78" s="50">
        <f t="shared" si="2"/>
        <v>73</v>
      </c>
      <c r="B78" s="71">
        <f>'F 1'!H85</f>
        <v>0</v>
      </c>
      <c r="C78" s="74"/>
      <c r="J78" s="50">
        <f t="shared" si="3"/>
        <v>73</v>
      </c>
      <c r="K78" s="72">
        <f>'F6'!J84</f>
        <v>0</v>
      </c>
      <c r="L78" s="74"/>
    </row>
    <row r="79" spans="1:12" ht="15">
      <c r="A79" s="50">
        <f t="shared" si="2"/>
        <v>74</v>
      </c>
      <c r="B79" s="71">
        <f>'F 1'!H86</f>
        <v>1.0256410256410255</v>
      </c>
      <c r="C79" s="74"/>
      <c r="J79" s="50">
        <f t="shared" si="3"/>
        <v>74</v>
      </c>
      <c r="K79" s="72">
        <f>'F6'!J85</f>
        <v>0</v>
      </c>
      <c r="L79" s="74"/>
    </row>
    <row r="80" spans="1:12" ht="15">
      <c r="A80" s="50">
        <f t="shared" si="2"/>
        <v>75</v>
      </c>
      <c r="B80" s="71">
        <f>'F 1'!H87</f>
        <v>0</v>
      </c>
      <c r="C80" s="74"/>
      <c r="J80" s="50">
        <f t="shared" si="3"/>
        <v>75</v>
      </c>
      <c r="K80" s="72">
        <f>'F6'!J86</f>
        <v>0</v>
      </c>
      <c r="L80" s="74"/>
    </row>
    <row r="81" spans="1:12" ht="15">
      <c r="A81" s="50">
        <f t="shared" si="2"/>
        <v>76</v>
      </c>
      <c r="B81" s="71">
        <f>'F 1'!H88</f>
        <v>0</v>
      </c>
      <c r="C81" s="74"/>
      <c r="J81" s="50">
        <f t="shared" si="3"/>
        <v>76</v>
      </c>
      <c r="K81" s="72">
        <f>'F6'!J87</f>
        <v>0</v>
      </c>
      <c r="L81" s="74"/>
    </row>
    <row r="82" spans="1:12" ht="15">
      <c r="A82" s="50">
        <f t="shared" si="2"/>
        <v>77</v>
      </c>
      <c r="B82" s="71">
        <f>'F 1'!H89</f>
        <v>0</v>
      </c>
      <c r="C82" s="74"/>
      <c r="J82" s="50">
        <f t="shared" si="3"/>
        <v>77</v>
      </c>
      <c r="K82" s="72">
        <f>'F6'!J88</f>
        <v>0</v>
      </c>
      <c r="L82" s="74"/>
    </row>
    <row r="83" spans="1:12" ht="15">
      <c r="A83" s="50">
        <f t="shared" si="2"/>
        <v>78</v>
      </c>
      <c r="B83" s="71">
        <f>'F 1'!H90</f>
        <v>0</v>
      </c>
      <c r="C83" s="74"/>
      <c r="J83" s="50">
        <f t="shared" si="3"/>
        <v>78</v>
      </c>
      <c r="K83" s="72">
        <f>'F6'!J89</f>
        <v>0</v>
      </c>
      <c r="L83" s="74"/>
    </row>
    <row r="84" spans="1:12" ht="15">
      <c r="A84" s="50">
        <f t="shared" si="2"/>
        <v>79</v>
      </c>
      <c r="B84" s="71">
        <f>'F 1'!H91</f>
        <v>0</v>
      </c>
      <c r="C84" s="74"/>
      <c r="J84" s="50">
        <f t="shared" si="3"/>
        <v>79</v>
      </c>
      <c r="K84" s="72">
        <f>'F6'!J90</f>
        <v>0</v>
      </c>
      <c r="L84" s="74"/>
    </row>
    <row r="85" spans="1:12" ht="15">
      <c r="A85" s="50">
        <f t="shared" si="2"/>
        <v>80</v>
      </c>
      <c r="B85" s="71">
        <f>'F 1'!H92</f>
        <v>2.653375206455278</v>
      </c>
      <c r="C85" s="74"/>
      <c r="J85" s="50">
        <f t="shared" si="3"/>
        <v>80</v>
      </c>
      <c r="K85" s="72">
        <f>'F6'!J91</f>
        <v>0</v>
      </c>
      <c r="L85" s="74"/>
    </row>
    <row r="86" spans="1:12" ht="15">
      <c r="A86" s="50">
        <f t="shared" si="2"/>
        <v>81</v>
      </c>
      <c r="B86" s="71">
        <f>'F 1'!H93</f>
        <v>8.727272727272727</v>
      </c>
      <c r="C86" s="74"/>
      <c r="J86" s="50">
        <f t="shared" si="3"/>
        <v>81</v>
      </c>
      <c r="K86" s="72">
        <f>'F6'!J92</f>
        <v>0</v>
      </c>
      <c r="L86" s="74"/>
    </row>
    <row r="87" spans="1:12" ht="15">
      <c r="A87" s="50">
        <f t="shared" si="2"/>
        <v>82</v>
      </c>
      <c r="B87" s="71">
        <f>'F 1'!H94</f>
        <v>5.818181818181818</v>
      </c>
      <c r="C87" s="74"/>
      <c r="J87" s="50">
        <f t="shared" si="3"/>
        <v>82</v>
      </c>
      <c r="K87" s="72">
        <f>'F6'!J93</f>
        <v>0</v>
      </c>
      <c r="L87" s="74"/>
    </row>
    <row r="88" spans="1:12" ht="15">
      <c r="A88" s="50">
        <f t="shared" si="2"/>
        <v>83</v>
      </c>
      <c r="B88" s="71">
        <f>'F 1'!H95</f>
        <v>0</v>
      </c>
      <c r="C88" s="74"/>
      <c r="J88" s="50">
        <f t="shared" si="3"/>
        <v>83</v>
      </c>
      <c r="K88" s="72">
        <f>'F6'!J94</f>
        <v>0</v>
      </c>
      <c r="L88" s="74"/>
    </row>
    <row r="89" spans="1:12" ht="15">
      <c r="A89" s="50">
        <f t="shared" si="2"/>
        <v>84</v>
      </c>
      <c r="B89" s="71">
        <f>'F 1'!H96</f>
        <v>1.4545454545454546</v>
      </c>
      <c r="C89" s="74"/>
      <c r="J89" s="50">
        <f t="shared" si="3"/>
        <v>84</v>
      </c>
      <c r="K89" s="72">
        <f>'F6'!J95</f>
        <v>0</v>
      </c>
      <c r="L89" s="74"/>
    </row>
    <row r="90" spans="1:12" ht="15">
      <c r="A90" s="50">
        <f t="shared" si="2"/>
        <v>85</v>
      </c>
      <c r="B90" s="71">
        <f>'F 1'!H97</f>
        <v>2.909090909090909</v>
      </c>
      <c r="C90" s="74"/>
      <c r="J90" s="50">
        <f t="shared" si="3"/>
        <v>85</v>
      </c>
      <c r="K90" s="72">
        <f>'F6'!J96</f>
        <v>0</v>
      </c>
      <c r="L90" s="74"/>
    </row>
    <row r="91" spans="1:12" ht="15">
      <c r="A91" s="50">
        <f t="shared" si="2"/>
        <v>86</v>
      </c>
      <c r="B91" s="71">
        <f>'F 1'!H98</f>
        <v>2.1818181818181817</v>
      </c>
      <c r="C91" s="74"/>
      <c r="J91" s="50">
        <f t="shared" si="3"/>
        <v>86</v>
      </c>
      <c r="K91" s="72">
        <f>'F6'!J97</f>
        <v>0</v>
      </c>
      <c r="L91" s="74"/>
    </row>
    <row r="92" spans="1:12" ht="15">
      <c r="A92" s="50">
        <f t="shared" si="2"/>
        <v>87</v>
      </c>
      <c r="B92" s="71">
        <f>'F 1'!H99</f>
        <v>1.018181818181818</v>
      </c>
      <c r="C92" s="74"/>
      <c r="J92" s="50">
        <f t="shared" si="3"/>
        <v>87</v>
      </c>
      <c r="K92" s="72">
        <f>'F6'!J98</f>
        <v>0</v>
      </c>
      <c r="L92" s="74"/>
    </row>
    <row r="93" spans="1:12" ht="15">
      <c r="A93" s="50">
        <f>A92+1</f>
        <v>88</v>
      </c>
      <c r="B93" s="71">
        <f>'F 1'!H100</f>
        <v>0</v>
      </c>
      <c r="C93" s="74"/>
      <c r="J93" s="50">
        <f t="shared" si="3"/>
        <v>88</v>
      </c>
      <c r="K93" s="72">
        <f>'F6'!J99</f>
        <v>0</v>
      </c>
      <c r="L93" s="74"/>
    </row>
    <row r="94" spans="1:12" ht="15">
      <c r="A94" s="50">
        <f aca="true" t="shared" si="4" ref="A94:A102">A93+1</f>
        <v>89</v>
      </c>
      <c r="B94" s="71">
        <f>'F 1'!H101</f>
        <v>0.36363636363636365</v>
      </c>
      <c r="C94" s="74"/>
      <c r="J94" s="50">
        <f t="shared" si="3"/>
        <v>89</v>
      </c>
      <c r="K94" s="72">
        <f>'F6'!J100</f>
        <v>0</v>
      </c>
      <c r="L94" s="74"/>
    </row>
    <row r="95" spans="1:12" ht="15">
      <c r="A95" s="50">
        <f t="shared" si="4"/>
        <v>90</v>
      </c>
      <c r="B95" s="71">
        <f>'F 1'!H102</f>
        <v>0.36363636363636365</v>
      </c>
      <c r="C95" s="74"/>
      <c r="J95" s="50">
        <f t="shared" si="3"/>
        <v>90</v>
      </c>
      <c r="K95" s="72">
        <f>'F6'!J101</f>
        <v>0</v>
      </c>
      <c r="L95" s="74"/>
    </row>
    <row r="96" spans="1:12" ht="15">
      <c r="A96" s="50">
        <f t="shared" si="4"/>
        <v>91</v>
      </c>
      <c r="B96" s="71">
        <f>'F 1'!H103</f>
        <v>0.7272727272727273</v>
      </c>
      <c r="C96" s="74"/>
      <c r="J96" s="50">
        <f t="shared" si="3"/>
        <v>91</v>
      </c>
      <c r="K96" s="72">
        <f>'F6'!J102</f>
        <v>0</v>
      </c>
      <c r="L96" s="74"/>
    </row>
    <row r="97" spans="1:12" ht="15">
      <c r="A97" s="50">
        <f t="shared" si="4"/>
        <v>92</v>
      </c>
      <c r="B97" s="71">
        <f>'F 1'!H104</f>
        <v>0</v>
      </c>
      <c r="C97" s="74"/>
      <c r="J97" s="50">
        <f t="shared" si="3"/>
        <v>92</v>
      </c>
      <c r="K97" s="72">
        <f>'F6'!J103</f>
        <v>0</v>
      </c>
      <c r="L97" s="74"/>
    </row>
    <row r="98" spans="1:12" ht="15">
      <c r="A98" s="50">
        <f t="shared" si="4"/>
        <v>93</v>
      </c>
      <c r="B98" s="71">
        <f>'F 1'!H105</f>
        <v>0.36363636363636365</v>
      </c>
      <c r="C98" s="74"/>
      <c r="J98" s="50">
        <f t="shared" si="3"/>
        <v>93</v>
      </c>
      <c r="K98" s="72">
        <f>'F6'!J104</f>
        <v>0</v>
      </c>
      <c r="L98" s="74"/>
    </row>
    <row r="99" spans="1:12" ht="15">
      <c r="A99" s="50">
        <f t="shared" si="4"/>
        <v>94</v>
      </c>
      <c r="B99" s="71">
        <f>'F 1'!H106</f>
        <v>5.818181818181818</v>
      </c>
      <c r="C99" s="74"/>
      <c r="J99" s="50">
        <f t="shared" si="3"/>
        <v>94</v>
      </c>
      <c r="K99" s="72">
        <f>'F6'!J105</f>
        <v>0</v>
      </c>
      <c r="L99" s="74"/>
    </row>
    <row r="100" spans="1:12" ht="15">
      <c r="A100" s="50">
        <f t="shared" si="4"/>
        <v>95</v>
      </c>
      <c r="B100" s="71">
        <f>'F 1'!H107</f>
        <v>1.4545454545454546</v>
      </c>
      <c r="C100" s="74"/>
      <c r="J100" s="50">
        <f t="shared" si="3"/>
        <v>95</v>
      </c>
      <c r="K100" s="72">
        <f>'F6'!J106</f>
        <v>0</v>
      </c>
      <c r="L100" s="74"/>
    </row>
    <row r="101" spans="1:12" ht="15">
      <c r="A101" s="50">
        <f t="shared" si="4"/>
        <v>96</v>
      </c>
      <c r="B101" s="71">
        <f>'F 1'!H108</f>
        <v>0.7272727272727273</v>
      </c>
      <c r="C101" s="74"/>
      <c r="J101" s="50">
        <f t="shared" si="3"/>
        <v>96</v>
      </c>
      <c r="K101" s="72">
        <f>'F6'!J107</f>
        <v>0</v>
      </c>
      <c r="L101" s="74"/>
    </row>
    <row r="102" spans="1:12" ht="15">
      <c r="A102" s="50">
        <f t="shared" si="4"/>
        <v>97</v>
      </c>
      <c r="B102" s="71">
        <f>'F 1'!H109</f>
        <v>0</v>
      </c>
      <c r="C102" s="74"/>
      <c r="J102" s="50">
        <f t="shared" si="3"/>
        <v>97</v>
      </c>
      <c r="K102" s="72">
        <f>'F6'!J108</f>
        <v>0</v>
      </c>
      <c r="L102" s="74"/>
    </row>
    <row r="103" spans="1:12" ht="15">
      <c r="A103" s="50">
        <f aca="true" t="shared" si="5" ref="A103:A108">A102+1</f>
        <v>98</v>
      </c>
      <c r="B103" s="71">
        <f>'F 1'!H110</f>
        <v>1.153846153846154</v>
      </c>
      <c r="C103" s="74"/>
      <c r="J103" s="50">
        <f t="shared" si="3"/>
        <v>98</v>
      </c>
      <c r="K103" s="72">
        <f>'F6'!J109</f>
        <v>0</v>
      </c>
      <c r="L103" s="74"/>
    </row>
    <row r="104" spans="1:12" ht="15">
      <c r="A104" s="50">
        <f t="shared" si="5"/>
        <v>99</v>
      </c>
      <c r="B104" s="71">
        <f>'F 1'!H111</f>
        <v>1.5384615384615385</v>
      </c>
      <c r="C104" s="74"/>
      <c r="J104" s="50">
        <f t="shared" si="3"/>
        <v>99</v>
      </c>
      <c r="K104" s="72">
        <f>'F6'!J110</f>
        <v>0</v>
      </c>
      <c r="L104" s="74"/>
    </row>
    <row r="105" spans="1:12" ht="15">
      <c r="A105" s="50">
        <f t="shared" si="5"/>
        <v>100</v>
      </c>
      <c r="B105" s="71">
        <f>'F 1'!H112</f>
        <v>5.384615384615385</v>
      </c>
      <c r="C105" s="74"/>
      <c r="J105" s="50">
        <f t="shared" si="3"/>
        <v>100</v>
      </c>
      <c r="K105" s="72">
        <f>'F6'!J111</f>
        <v>0</v>
      </c>
      <c r="L105" s="74"/>
    </row>
    <row r="106" spans="1:12" ht="15">
      <c r="A106" s="318">
        <f t="shared" si="5"/>
        <v>101</v>
      </c>
      <c r="B106" s="71">
        <f>'F 1'!H113</f>
        <v>3.076923076923077</v>
      </c>
      <c r="C106" s="336"/>
      <c r="J106" s="318">
        <f t="shared" si="3"/>
        <v>101</v>
      </c>
      <c r="K106" s="341">
        <f>'F6'!J112</f>
        <v>0</v>
      </c>
      <c r="L106" s="336"/>
    </row>
    <row r="107" spans="1:12" ht="15">
      <c r="A107" s="318">
        <f t="shared" si="5"/>
        <v>102</v>
      </c>
      <c r="B107" s="71">
        <f>'F 1'!H114</f>
        <v>4.615384615384616</v>
      </c>
      <c r="C107" s="337"/>
      <c r="J107" s="318">
        <f t="shared" si="3"/>
        <v>102</v>
      </c>
      <c r="K107" s="72">
        <f>'F6'!J113</f>
        <v>0</v>
      </c>
      <c r="L107" s="342"/>
    </row>
    <row r="108" spans="1:12" ht="15">
      <c r="A108" s="318">
        <f t="shared" si="5"/>
        <v>103</v>
      </c>
      <c r="B108" s="71">
        <f>'F 1'!H115</f>
        <v>1.5384615384615385</v>
      </c>
      <c r="C108" s="338"/>
      <c r="J108" s="318">
        <f t="shared" si="3"/>
        <v>103</v>
      </c>
      <c r="K108" s="72">
        <f>'F6'!J114</f>
        <v>0</v>
      </c>
      <c r="L108" s="343"/>
    </row>
    <row r="109" ht="15.75" thickBot="1"/>
    <row r="110" spans="2:12" ht="15.75" thickBot="1">
      <c r="B110" s="339">
        <f>SUM(B6:B108)</f>
        <v>169.8534196339065</v>
      </c>
      <c r="C110" s="340">
        <f>SUM(C6:C51)</f>
        <v>132.36435977815282</v>
      </c>
      <c r="K110" s="344">
        <f>SUM(K6:K108)</f>
        <v>0</v>
      </c>
      <c r="L110" s="345">
        <f>SUM(L6:L51)</f>
        <v>0</v>
      </c>
    </row>
  </sheetData>
  <sheetProtection selectLockedCells="1"/>
  <mergeCells count="15">
    <mergeCell ref="E26:G26"/>
    <mergeCell ref="E27:G27"/>
    <mergeCell ref="E21:H21"/>
    <mergeCell ref="E35:G35"/>
    <mergeCell ref="H36:H37"/>
    <mergeCell ref="E31:H31"/>
    <mergeCell ref="E36:G37"/>
    <mergeCell ref="M5:N5"/>
    <mergeCell ref="K4:N4"/>
    <mergeCell ref="A2:E2"/>
    <mergeCell ref="A4:A5"/>
    <mergeCell ref="B4:E4"/>
    <mergeCell ref="D5:E5"/>
    <mergeCell ref="J4:J5"/>
    <mergeCell ref="J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3"/>
  <sheetViews>
    <sheetView tabSelected="1" zoomScale="110" zoomScaleNormal="110" zoomScalePageLayoutView="0" workbookViewId="0" topLeftCell="A49">
      <selection activeCell="E58" sqref="E58"/>
    </sheetView>
  </sheetViews>
  <sheetFormatPr defaultColWidth="9.140625" defaultRowHeight="15"/>
  <cols>
    <col min="1" max="1" width="7.140625" style="5" customWidth="1"/>
    <col min="2" max="2" width="8.140625" style="5" customWidth="1"/>
    <col min="4" max="4" width="32.8515625" style="0" customWidth="1"/>
    <col min="6" max="6" width="6.140625" style="0" customWidth="1"/>
    <col min="7" max="7" width="41.421875" style="5" customWidth="1"/>
    <col min="8" max="8" width="11.57421875" style="5" customWidth="1"/>
    <col min="9" max="9" width="6.140625" style="0" customWidth="1"/>
    <col min="10" max="10" width="40.8515625" style="0" customWidth="1"/>
    <col min="12" max="12" width="12.00390625" style="0" customWidth="1"/>
    <col min="13" max="15" width="9.140625" style="17" customWidth="1"/>
    <col min="16" max="16" width="10.00390625" style="17" bestFit="1" customWidth="1"/>
    <col min="17" max="17" width="9.140625" style="17" customWidth="1"/>
  </cols>
  <sheetData>
    <row r="1" spans="1:12" ht="26.25">
      <c r="A1" s="504" t="s">
        <v>326</v>
      </c>
      <c r="B1" s="504"/>
      <c r="C1" s="504"/>
      <c r="D1" s="504"/>
      <c r="E1" s="504"/>
      <c r="H1" s="82"/>
      <c r="I1" s="78"/>
      <c r="J1" s="78"/>
      <c r="K1" s="78"/>
      <c r="L1" s="78"/>
    </row>
    <row r="2" spans="1:14" ht="27" thickBot="1">
      <c r="A2" s="504" t="s">
        <v>325</v>
      </c>
      <c r="B2" s="504"/>
      <c r="C2" s="504"/>
      <c r="D2" s="504"/>
      <c r="E2" s="504"/>
      <c r="F2" s="78"/>
      <c r="G2" s="81"/>
      <c r="H2" s="81"/>
      <c r="I2" s="78"/>
      <c r="J2" s="78"/>
      <c r="K2" s="78"/>
      <c r="L2" s="78"/>
      <c r="N2" s="69"/>
    </row>
    <row r="3" spans="1:14" ht="57" thickBot="1">
      <c r="A3" s="208" t="s">
        <v>310</v>
      </c>
      <c r="B3" s="209" t="s">
        <v>274</v>
      </c>
      <c r="C3" s="505" t="s">
        <v>327</v>
      </c>
      <c r="D3" s="505"/>
      <c r="E3" s="210" t="s">
        <v>328</v>
      </c>
      <c r="F3" s="78"/>
      <c r="G3" s="254" t="s">
        <v>649</v>
      </c>
      <c r="H3" s="83"/>
      <c r="I3" s="78"/>
      <c r="J3" s="78"/>
      <c r="K3" s="80"/>
      <c r="L3" s="78"/>
      <c r="N3" s="69"/>
    </row>
    <row r="4" spans="1:17" s="29" customFormat="1" ht="30.75" customHeight="1" thickBot="1">
      <c r="A4" s="160">
        <v>1</v>
      </c>
      <c r="B4" s="202" t="s">
        <v>97</v>
      </c>
      <c r="C4" s="506" t="s">
        <v>340</v>
      </c>
      <c r="D4" s="507"/>
      <c r="E4" s="220">
        <v>0</v>
      </c>
      <c r="F4" s="32"/>
      <c r="G4" s="333" t="s">
        <v>484</v>
      </c>
      <c r="H4" s="83"/>
      <c r="I4" s="78"/>
      <c r="J4" s="78"/>
      <c r="K4" s="80"/>
      <c r="L4" s="78"/>
      <c r="M4" s="17"/>
      <c r="N4" s="69"/>
      <c r="O4" s="17"/>
      <c r="P4" s="17"/>
      <c r="Q4" s="17"/>
    </row>
    <row r="5" spans="1:17" s="29" customFormat="1" ht="19.5" thickBot="1">
      <c r="A5" s="200"/>
      <c r="B5" s="203"/>
      <c r="C5" s="496" t="s">
        <v>140</v>
      </c>
      <c r="D5" s="497"/>
      <c r="E5" s="221">
        <f>IF(E4&lt;0,"Salah Isi",IF(E4&lt;1,1,IF(E4&lt;=4,E4,"Salah Isi")))</f>
        <v>1</v>
      </c>
      <c r="F5" s="237"/>
      <c r="G5" s="194"/>
      <c r="H5" s="83"/>
      <c r="I5" s="78"/>
      <c r="J5" s="78"/>
      <c r="K5" s="80"/>
      <c r="L5" s="78"/>
      <c r="M5" s="17"/>
      <c r="N5" s="69"/>
      <c r="O5" s="17"/>
      <c r="P5" s="17"/>
      <c r="Q5" s="17"/>
    </row>
    <row r="6" spans="1:17" s="29" customFormat="1" ht="19.5" thickBot="1">
      <c r="A6" s="200"/>
      <c r="B6" s="203"/>
      <c r="C6" s="162"/>
      <c r="D6" s="162"/>
      <c r="E6" s="163"/>
      <c r="F6" s="260"/>
      <c r="G6" s="215"/>
      <c r="H6" s="83"/>
      <c r="I6" s="78"/>
      <c r="J6" s="78"/>
      <c r="K6" s="80"/>
      <c r="L6" s="78"/>
      <c r="M6" s="17"/>
      <c r="N6" s="69"/>
      <c r="O6" s="17"/>
      <c r="P6" s="17"/>
      <c r="Q6" s="17"/>
    </row>
    <row r="7" spans="1:17" s="29" customFormat="1" ht="29.25" customHeight="1" thickBot="1">
      <c r="A7" s="160">
        <v>2</v>
      </c>
      <c r="B7" s="202" t="s">
        <v>98</v>
      </c>
      <c r="C7" s="466" t="s">
        <v>341</v>
      </c>
      <c r="D7" s="467"/>
      <c r="E7" s="220">
        <v>0</v>
      </c>
      <c r="F7" s="260"/>
      <c r="G7" s="333" t="s">
        <v>469</v>
      </c>
      <c r="H7" s="83"/>
      <c r="I7" s="78"/>
      <c r="J7" s="78"/>
      <c r="K7" s="80"/>
      <c r="L7" s="78"/>
      <c r="M7" s="17"/>
      <c r="N7" s="69"/>
      <c r="O7" s="17"/>
      <c r="P7" s="17"/>
      <c r="Q7" s="17"/>
    </row>
    <row r="8" spans="1:17" s="29" customFormat="1" ht="19.5" thickBot="1">
      <c r="A8" s="160"/>
      <c r="B8" s="204"/>
      <c r="C8" s="446" t="s">
        <v>140</v>
      </c>
      <c r="D8" s="447"/>
      <c r="E8" s="221">
        <f>IF(E7&lt;0,"Salah Isi",IF(E7&lt;1,1,IF(E7&lt;=4,E7,"Salah Isi")))</f>
        <v>1</v>
      </c>
      <c r="F8" s="260"/>
      <c r="G8" s="215"/>
      <c r="H8" s="83"/>
      <c r="I8" s="78"/>
      <c r="J8" s="78"/>
      <c r="K8" s="80"/>
      <c r="L8" s="78"/>
      <c r="M8" s="17"/>
      <c r="N8" s="69"/>
      <c r="O8" s="17"/>
      <c r="P8" s="17"/>
      <c r="Q8" s="17"/>
    </row>
    <row r="9" spans="1:17" s="29" customFormat="1" ht="19.5" thickBot="1">
      <c r="A9" s="160"/>
      <c r="B9" s="204"/>
      <c r="C9" s="161"/>
      <c r="D9" s="161"/>
      <c r="E9" s="163"/>
      <c r="F9" s="260"/>
      <c r="G9" s="215"/>
      <c r="H9" s="83"/>
      <c r="I9" s="78"/>
      <c r="J9" s="78"/>
      <c r="K9" s="80"/>
      <c r="L9" s="78"/>
      <c r="M9" s="17"/>
      <c r="N9" s="69"/>
      <c r="O9" s="17"/>
      <c r="P9" s="17"/>
      <c r="Q9" s="17"/>
    </row>
    <row r="10" spans="1:17" s="29" customFormat="1" ht="54" customHeight="1" thickBot="1">
      <c r="A10" s="160">
        <v>3</v>
      </c>
      <c r="B10" s="34" t="s">
        <v>311</v>
      </c>
      <c r="C10" s="454" t="s">
        <v>342</v>
      </c>
      <c r="D10" s="455"/>
      <c r="E10" s="220">
        <v>0</v>
      </c>
      <c r="F10" s="260"/>
      <c r="G10" s="333" t="s">
        <v>470</v>
      </c>
      <c r="H10" s="83"/>
      <c r="I10" s="78"/>
      <c r="J10" s="78"/>
      <c r="K10" s="80"/>
      <c r="L10" s="78"/>
      <c r="M10" s="17"/>
      <c r="N10" s="69"/>
      <c r="O10" s="17"/>
      <c r="P10" s="17"/>
      <c r="Q10" s="17"/>
    </row>
    <row r="11" spans="1:17" s="29" customFormat="1" ht="19.5" thickBot="1">
      <c r="A11" s="160"/>
      <c r="B11" s="204"/>
      <c r="C11" s="446" t="s">
        <v>140</v>
      </c>
      <c r="D11" s="447"/>
      <c r="E11" s="221">
        <f>IF(E10&lt;0,"Salah Isi",IF(E10&lt;1,1,IF(E10&lt;=4,E10,"Salah Isi")))</f>
        <v>1</v>
      </c>
      <c r="F11" s="260"/>
      <c r="G11" s="215"/>
      <c r="H11" s="83"/>
      <c r="I11" s="78"/>
      <c r="J11" s="78"/>
      <c r="K11" s="80"/>
      <c r="L11" s="78"/>
      <c r="M11" s="17"/>
      <c r="N11" s="69"/>
      <c r="O11" s="17"/>
      <c r="P11" s="17"/>
      <c r="Q11" s="17"/>
    </row>
    <row r="12" spans="1:17" s="29" customFormat="1" ht="19.5" thickBot="1">
      <c r="A12" s="160"/>
      <c r="B12" s="204"/>
      <c r="C12" s="161"/>
      <c r="D12" s="161"/>
      <c r="E12" s="163"/>
      <c r="F12" s="260"/>
      <c r="G12" s="215"/>
      <c r="H12" s="83"/>
      <c r="I12" s="78"/>
      <c r="J12" s="78"/>
      <c r="K12" s="80"/>
      <c r="L12" s="78"/>
      <c r="M12" s="17"/>
      <c r="N12" s="69"/>
      <c r="O12" s="17"/>
      <c r="P12" s="17"/>
      <c r="Q12" s="17"/>
    </row>
    <row r="13" spans="1:17" s="29" customFormat="1" ht="66.75" customHeight="1" thickBot="1">
      <c r="A13" s="160">
        <v>4</v>
      </c>
      <c r="B13" s="34" t="s">
        <v>312</v>
      </c>
      <c r="C13" s="454" t="s">
        <v>343</v>
      </c>
      <c r="D13" s="455"/>
      <c r="E13" s="220">
        <v>0</v>
      </c>
      <c r="F13" s="260"/>
      <c r="G13" s="333" t="s">
        <v>471</v>
      </c>
      <c r="H13" s="83"/>
      <c r="I13" s="78"/>
      <c r="J13" s="78"/>
      <c r="K13" s="80"/>
      <c r="L13" s="78"/>
      <c r="M13" s="17"/>
      <c r="N13" s="69"/>
      <c r="O13" s="17"/>
      <c r="P13" s="17"/>
      <c r="Q13" s="17"/>
    </row>
    <row r="14" spans="1:17" s="29" customFormat="1" ht="19.5" thickBot="1">
      <c r="A14" s="160"/>
      <c r="B14" s="204"/>
      <c r="C14" s="446" t="s">
        <v>140</v>
      </c>
      <c r="D14" s="447"/>
      <c r="E14" s="221">
        <f>IF(E13&lt;0,"Salah Isi",IF(E13&lt;=4,E13,"Salah Isi"))</f>
        <v>0</v>
      </c>
      <c r="F14" s="260"/>
      <c r="G14" s="215"/>
      <c r="H14" s="83"/>
      <c r="I14" s="78"/>
      <c r="J14" s="78"/>
      <c r="K14" s="80"/>
      <c r="L14" s="78"/>
      <c r="M14" s="17"/>
      <c r="N14" s="69"/>
      <c r="O14" s="17"/>
      <c r="P14" s="17"/>
      <c r="Q14" s="17"/>
    </row>
    <row r="15" spans="1:17" s="29" customFormat="1" ht="19.5" thickBot="1">
      <c r="A15" s="160"/>
      <c r="B15" s="204"/>
      <c r="C15" s="161"/>
      <c r="D15" s="161"/>
      <c r="E15" s="163"/>
      <c r="F15" s="260"/>
      <c r="G15" s="215"/>
      <c r="H15" s="83"/>
      <c r="I15" s="78"/>
      <c r="J15" s="78"/>
      <c r="K15" s="80"/>
      <c r="L15" s="78"/>
      <c r="M15" s="17"/>
      <c r="N15" s="69"/>
      <c r="O15" s="17"/>
      <c r="P15" s="17"/>
      <c r="Q15" s="17"/>
    </row>
    <row r="16" spans="1:17" s="29" customFormat="1" ht="54.75" customHeight="1" thickBot="1">
      <c r="A16" s="160">
        <v>5</v>
      </c>
      <c r="B16" s="34" t="s">
        <v>313</v>
      </c>
      <c r="C16" s="454" t="s">
        <v>344</v>
      </c>
      <c r="D16" s="455"/>
      <c r="E16" s="220">
        <v>0</v>
      </c>
      <c r="F16" s="260"/>
      <c r="G16" s="333" t="s">
        <v>472</v>
      </c>
      <c r="H16" s="83"/>
      <c r="I16" s="78"/>
      <c r="J16" s="78"/>
      <c r="K16" s="80"/>
      <c r="L16" s="78"/>
      <c r="M16" s="17"/>
      <c r="N16" s="69"/>
      <c r="O16" s="17"/>
      <c r="P16" s="17"/>
      <c r="Q16" s="17"/>
    </row>
    <row r="17" spans="1:17" s="29" customFormat="1" ht="19.5" thickBot="1">
      <c r="A17" s="160"/>
      <c r="B17" s="204"/>
      <c r="C17" s="446" t="s">
        <v>140</v>
      </c>
      <c r="D17" s="447"/>
      <c r="E17" s="221">
        <f>IF(E16&lt;0,"Salah Isi",IF(E16&lt;1,1,IF(E16&lt;=4,E16,"Salah Isi")))</f>
        <v>1</v>
      </c>
      <c r="F17" s="260"/>
      <c r="G17" s="215"/>
      <c r="H17" s="83"/>
      <c r="I17" s="78"/>
      <c r="J17" s="78"/>
      <c r="K17" s="80"/>
      <c r="L17" s="78"/>
      <c r="M17" s="17"/>
      <c r="N17" s="69"/>
      <c r="O17" s="17"/>
      <c r="P17" s="17"/>
      <c r="Q17" s="17"/>
    </row>
    <row r="18" spans="1:17" s="29" customFormat="1" ht="19.5" thickBot="1">
      <c r="A18" s="160"/>
      <c r="B18" s="204"/>
      <c r="C18" s="161"/>
      <c r="D18" s="161"/>
      <c r="E18" s="163"/>
      <c r="F18" s="260"/>
      <c r="G18" s="215"/>
      <c r="H18" s="83"/>
      <c r="I18" s="78"/>
      <c r="J18" s="78"/>
      <c r="K18" s="80"/>
      <c r="L18" s="78"/>
      <c r="M18" s="17"/>
      <c r="N18" s="69"/>
      <c r="O18" s="17"/>
      <c r="P18" s="17"/>
      <c r="Q18" s="17"/>
    </row>
    <row r="19" spans="1:17" s="29" customFormat="1" ht="53.25" customHeight="1" thickBot="1">
      <c r="A19" s="160">
        <v>6</v>
      </c>
      <c r="B19" s="34" t="s">
        <v>314</v>
      </c>
      <c r="C19" s="454" t="s">
        <v>345</v>
      </c>
      <c r="D19" s="455"/>
      <c r="E19" s="220">
        <v>0</v>
      </c>
      <c r="F19" s="260"/>
      <c r="G19" s="333" t="s">
        <v>473</v>
      </c>
      <c r="H19" s="83"/>
      <c r="I19" s="78"/>
      <c r="J19" s="78"/>
      <c r="K19" s="80"/>
      <c r="L19" s="78"/>
      <c r="M19" s="17"/>
      <c r="N19" s="69"/>
      <c r="O19" s="17"/>
      <c r="P19" s="17"/>
      <c r="Q19" s="17"/>
    </row>
    <row r="20" spans="1:17" s="29" customFormat="1" ht="19.5" thickBot="1">
      <c r="A20" s="160"/>
      <c r="B20" s="204"/>
      <c r="C20" s="446" t="s">
        <v>140</v>
      </c>
      <c r="D20" s="447"/>
      <c r="E20" s="221">
        <f>IF(E19&lt;0,"Salah Isi",IF(E19&lt;1,1,IF(E19&lt;=4,E19,"Salah Isi")))</f>
        <v>1</v>
      </c>
      <c r="F20" s="260"/>
      <c r="G20" s="194"/>
      <c r="H20" s="83"/>
      <c r="I20" s="78"/>
      <c r="J20" s="78"/>
      <c r="K20" s="80"/>
      <c r="L20" s="78"/>
      <c r="M20" s="17"/>
      <c r="N20" s="69"/>
      <c r="O20" s="17"/>
      <c r="P20" s="17"/>
      <c r="Q20" s="17"/>
    </row>
    <row r="21" spans="1:17" s="29" customFormat="1" ht="19.5" thickBot="1">
      <c r="A21" s="160"/>
      <c r="B21" s="204"/>
      <c r="C21" s="161"/>
      <c r="D21" s="161"/>
      <c r="E21" s="163"/>
      <c r="F21" s="260"/>
      <c r="G21" s="194"/>
      <c r="H21" s="83"/>
      <c r="I21" s="78"/>
      <c r="J21" s="78"/>
      <c r="K21" s="80"/>
      <c r="L21" s="78"/>
      <c r="M21" s="17"/>
      <c r="N21" s="69"/>
      <c r="O21" s="17"/>
      <c r="P21" s="17"/>
      <c r="Q21" s="17"/>
    </row>
    <row r="22" spans="1:17" s="29" customFormat="1" ht="20.25" customHeight="1" thickBot="1">
      <c r="A22" s="160">
        <v>7</v>
      </c>
      <c r="B22" s="34" t="s">
        <v>315</v>
      </c>
      <c r="C22" s="454" t="s">
        <v>346</v>
      </c>
      <c r="D22" s="455"/>
      <c r="E22" s="220">
        <v>0</v>
      </c>
      <c r="F22" s="260"/>
      <c r="G22" s="333" t="s">
        <v>474</v>
      </c>
      <c r="H22" s="83"/>
      <c r="I22" s="78"/>
      <c r="J22" s="78"/>
      <c r="K22" s="80"/>
      <c r="L22" s="78"/>
      <c r="M22" s="17"/>
      <c r="N22" s="69"/>
      <c r="O22" s="17"/>
      <c r="P22" s="17"/>
      <c r="Q22" s="17"/>
    </row>
    <row r="23" spans="1:17" s="29" customFormat="1" ht="19.5" thickBot="1">
      <c r="A23" s="160"/>
      <c r="B23" s="204"/>
      <c r="C23" s="446" t="s">
        <v>140</v>
      </c>
      <c r="D23" s="447"/>
      <c r="E23" s="221">
        <f>IF(E22&lt;0,"Salah Isi",IF(E22&lt;=4,E22,"Salah Isi"))</f>
        <v>0</v>
      </c>
      <c r="F23" s="260"/>
      <c r="G23" s="194"/>
      <c r="H23" s="83"/>
      <c r="I23" s="78"/>
      <c r="J23" s="78"/>
      <c r="K23" s="80"/>
      <c r="L23" s="78"/>
      <c r="M23" s="17"/>
      <c r="N23" s="69"/>
      <c r="O23" s="17"/>
      <c r="P23" s="17"/>
      <c r="Q23" s="17"/>
    </row>
    <row r="24" spans="1:17" s="29" customFormat="1" ht="19.5" thickBot="1">
      <c r="A24" s="160"/>
      <c r="B24" s="204"/>
      <c r="C24" s="161"/>
      <c r="D24" s="161"/>
      <c r="E24" s="163"/>
      <c r="F24" s="260"/>
      <c r="G24" s="194"/>
      <c r="H24" s="83"/>
      <c r="I24" s="78"/>
      <c r="J24" s="78"/>
      <c r="K24" s="80"/>
      <c r="L24" s="78"/>
      <c r="M24" s="17"/>
      <c r="N24" s="69"/>
      <c r="O24" s="17"/>
      <c r="P24" s="17"/>
      <c r="Q24" s="17"/>
    </row>
    <row r="25" spans="1:17" s="29" customFormat="1" ht="19.5" thickBot="1">
      <c r="A25" s="160">
        <v>8</v>
      </c>
      <c r="B25" s="34" t="s">
        <v>316</v>
      </c>
      <c r="C25" s="213" t="s">
        <v>347</v>
      </c>
      <c r="D25" s="214"/>
      <c r="E25" s="220">
        <v>0</v>
      </c>
      <c r="F25" s="260"/>
      <c r="G25" s="333" t="s">
        <v>475</v>
      </c>
      <c r="H25" s="83"/>
      <c r="I25" s="78"/>
      <c r="J25" s="78"/>
      <c r="K25" s="80"/>
      <c r="L25" s="78"/>
      <c r="M25" s="17"/>
      <c r="N25" s="69"/>
      <c r="O25" s="17"/>
      <c r="P25" s="17"/>
      <c r="Q25" s="17"/>
    </row>
    <row r="26" spans="1:17" s="29" customFormat="1" ht="19.5" thickBot="1">
      <c r="A26" s="160"/>
      <c r="B26" s="204"/>
      <c r="C26" s="496" t="s">
        <v>140</v>
      </c>
      <c r="D26" s="497"/>
      <c r="E26" s="221">
        <f>IF(E25&lt;0,"Salah Isi",IF(E25&lt;=4,E25,"Salah Isi"))</f>
        <v>0</v>
      </c>
      <c r="F26" s="260"/>
      <c r="G26" s="194"/>
      <c r="H26" s="83"/>
      <c r="I26" s="78"/>
      <c r="J26" s="78"/>
      <c r="K26" s="80"/>
      <c r="L26" s="78"/>
      <c r="M26" s="17"/>
      <c r="N26" s="69"/>
      <c r="O26" s="17"/>
      <c r="P26" s="17"/>
      <c r="Q26" s="17"/>
    </row>
    <row r="27" spans="1:17" s="29" customFormat="1" ht="19.5" thickBot="1">
      <c r="A27" s="160"/>
      <c r="B27" s="204"/>
      <c r="C27" s="162"/>
      <c r="D27" s="162"/>
      <c r="E27" s="163"/>
      <c r="F27" s="260"/>
      <c r="G27" s="194"/>
      <c r="H27" s="83"/>
      <c r="I27" s="78"/>
      <c r="J27" s="78"/>
      <c r="K27" s="80"/>
      <c r="L27" s="78"/>
      <c r="M27" s="17"/>
      <c r="N27" s="69"/>
      <c r="O27" s="17"/>
      <c r="P27" s="17"/>
      <c r="Q27" s="17"/>
    </row>
    <row r="28" spans="1:17" s="29" customFormat="1" ht="41.25" customHeight="1" thickBot="1">
      <c r="A28" s="160">
        <v>9</v>
      </c>
      <c r="B28" s="34" t="s">
        <v>317</v>
      </c>
      <c r="C28" s="442" t="s">
        <v>348</v>
      </c>
      <c r="D28" s="443"/>
      <c r="E28" s="220">
        <v>0</v>
      </c>
      <c r="F28" s="260"/>
      <c r="G28" s="333" t="s">
        <v>476</v>
      </c>
      <c r="H28" s="83"/>
      <c r="I28" s="78"/>
      <c r="J28" s="78"/>
      <c r="K28" s="80"/>
      <c r="L28" s="78"/>
      <c r="M28" s="17"/>
      <c r="N28" s="69"/>
      <c r="O28" s="17"/>
      <c r="P28" s="17"/>
      <c r="Q28" s="17"/>
    </row>
    <row r="29" spans="1:17" s="29" customFormat="1" ht="19.5" thickBot="1">
      <c r="A29" s="160"/>
      <c r="B29" s="204"/>
      <c r="C29" s="496" t="s">
        <v>140</v>
      </c>
      <c r="D29" s="497"/>
      <c r="E29" s="221">
        <f>IF(E28&lt;0,"Salah Isi",IF(E28&lt;=4,E28,"Salah Isi"))</f>
        <v>0</v>
      </c>
      <c r="F29" s="260"/>
      <c r="G29" s="194"/>
      <c r="H29" s="83"/>
      <c r="I29" s="78"/>
      <c r="J29" s="78"/>
      <c r="K29" s="80"/>
      <c r="L29" s="78"/>
      <c r="M29" s="17"/>
      <c r="N29" s="69"/>
      <c r="O29" s="17"/>
      <c r="P29" s="17"/>
      <c r="Q29" s="17"/>
    </row>
    <row r="30" spans="1:17" s="29" customFormat="1" ht="19.5" thickBot="1">
      <c r="A30" s="160"/>
      <c r="B30" s="204"/>
      <c r="C30" s="159"/>
      <c r="D30" s="159"/>
      <c r="E30" s="163"/>
      <c r="F30" s="260"/>
      <c r="G30" s="194"/>
      <c r="H30" s="83"/>
      <c r="I30" s="78"/>
      <c r="J30" s="78"/>
      <c r="K30" s="80"/>
      <c r="L30" s="78"/>
      <c r="M30" s="17"/>
      <c r="N30" s="69"/>
      <c r="O30" s="17"/>
      <c r="P30" s="17"/>
      <c r="Q30" s="17"/>
    </row>
    <row r="31" spans="1:17" s="29" customFormat="1" ht="27" customHeight="1" thickBot="1">
      <c r="A31" s="160">
        <v>10</v>
      </c>
      <c r="B31" s="202" t="s">
        <v>349</v>
      </c>
      <c r="C31" s="442" t="s">
        <v>350</v>
      </c>
      <c r="D31" s="443"/>
      <c r="E31" s="222"/>
      <c r="F31" s="260"/>
      <c r="G31" s="333" t="s">
        <v>477</v>
      </c>
      <c r="H31" s="83"/>
      <c r="I31" s="78"/>
      <c r="J31" s="78"/>
      <c r="K31" s="80"/>
      <c r="L31" s="78"/>
      <c r="M31" s="17"/>
      <c r="N31" s="69"/>
      <c r="O31" s="17"/>
      <c r="P31" s="17"/>
      <c r="Q31" s="17"/>
    </row>
    <row r="32" spans="1:7" ht="15">
      <c r="A32" s="163"/>
      <c r="B32" s="82"/>
      <c r="C32" s="217" t="s">
        <v>300</v>
      </c>
      <c r="D32" s="84"/>
      <c r="E32" s="223">
        <v>1000</v>
      </c>
      <c r="F32" s="260"/>
      <c r="G32" s="216"/>
    </row>
    <row r="33" spans="1:7" ht="15">
      <c r="A33" s="163"/>
      <c r="B33" s="82"/>
      <c r="C33" s="217" t="s">
        <v>301</v>
      </c>
      <c r="D33" s="84"/>
      <c r="E33" s="223">
        <v>500</v>
      </c>
      <c r="F33" s="260"/>
      <c r="G33" s="216"/>
    </row>
    <row r="34" spans="1:7" ht="15.75" customHeight="1">
      <c r="A34" s="163"/>
      <c r="B34" s="82"/>
      <c r="C34" s="498" t="s">
        <v>214</v>
      </c>
      <c r="D34" s="499"/>
      <c r="E34" s="224">
        <f>(E32/E33)</f>
        <v>2</v>
      </c>
      <c r="F34" s="260"/>
      <c r="G34" s="216"/>
    </row>
    <row r="35" spans="1:14" ht="15.75" thickBot="1">
      <c r="A35" s="163"/>
      <c r="B35" s="82"/>
      <c r="C35" s="446" t="s">
        <v>140</v>
      </c>
      <c r="D35" s="447"/>
      <c r="E35" s="221">
        <f>IF(E34&lt;0,"Salah Isi",IF(E34&lt;4,E34,4))</f>
        <v>2</v>
      </c>
      <c r="F35" s="264"/>
      <c r="G35" s="216"/>
      <c r="N35" s="70"/>
    </row>
    <row r="36" spans="1:16" ht="15.75" thickBot="1">
      <c r="A36" s="163"/>
      <c r="B36" s="82"/>
      <c r="C36" s="78"/>
      <c r="D36" s="78"/>
      <c r="E36" s="163"/>
      <c r="F36" s="260"/>
      <c r="G36" s="216"/>
      <c r="N36" s="512"/>
      <c r="O36" s="512"/>
      <c r="P36" s="512"/>
    </row>
    <row r="37" spans="1:17" s="29" customFormat="1" ht="39.75" customHeight="1" thickBot="1">
      <c r="A37" s="163">
        <v>11</v>
      </c>
      <c r="B37" s="202" t="s">
        <v>351</v>
      </c>
      <c r="C37" s="442" t="s">
        <v>352</v>
      </c>
      <c r="D37" s="443"/>
      <c r="E37" s="222"/>
      <c r="F37" s="260"/>
      <c r="G37" s="333" t="s">
        <v>478</v>
      </c>
      <c r="H37" s="5"/>
      <c r="M37" s="17"/>
      <c r="N37" s="168"/>
      <c r="O37" s="168"/>
      <c r="P37" s="168"/>
      <c r="Q37" s="17"/>
    </row>
    <row r="38" spans="1:16" ht="15">
      <c r="A38" s="163"/>
      <c r="B38" s="82"/>
      <c r="C38" s="217" t="s">
        <v>302</v>
      </c>
      <c r="D38" s="84"/>
      <c r="E38" s="223">
        <v>450</v>
      </c>
      <c r="F38" s="260"/>
      <c r="G38" s="216"/>
      <c r="P38" s="67"/>
    </row>
    <row r="39" spans="1:16" ht="30.75" customHeight="1">
      <c r="A39" s="163"/>
      <c r="B39" s="82"/>
      <c r="C39" s="478" t="s">
        <v>303</v>
      </c>
      <c r="D39" s="479"/>
      <c r="E39" s="223">
        <v>456</v>
      </c>
      <c r="F39" s="260"/>
      <c r="G39" s="216"/>
      <c r="O39" s="69"/>
      <c r="P39" s="69"/>
    </row>
    <row r="40" spans="1:16" ht="18.75">
      <c r="A40" s="163"/>
      <c r="B40" s="82"/>
      <c r="C40" s="498" t="s">
        <v>215</v>
      </c>
      <c r="D40" s="499"/>
      <c r="E40" s="224">
        <f>(E38/E39)</f>
        <v>0.9868421052631579</v>
      </c>
      <c r="F40" s="260"/>
      <c r="G40" s="216"/>
      <c r="P40" s="69"/>
    </row>
    <row r="41" spans="1:16" ht="19.5" thickBot="1">
      <c r="A41" s="163"/>
      <c r="B41" s="82"/>
      <c r="C41" s="446" t="s">
        <v>140</v>
      </c>
      <c r="D41" s="447"/>
      <c r="E41" s="221">
        <f>IF(E40&gt;=90%,4,(40*E40)/9)</f>
        <v>4</v>
      </c>
      <c r="F41" s="264"/>
      <c r="G41" s="216"/>
      <c r="P41" s="69"/>
    </row>
    <row r="42" spans="1:16" ht="19.5" thickBot="1">
      <c r="A42" s="163"/>
      <c r="B42" s="82"/>
      <c r="C42" s="78"/>
      <c r="D42" s="78"/>
      <c r="E42" s="163"/>
      <c r="F42" s="260"/>
      <c r="G42" s="216"/>
      <c r="P42" s="69"/>
    </row>
    <row r="43" spans="1:17" s="29" customFormat="1" ht="27.75" customHeight="1" thickBot="1">
      <c r="A43" s="163">
        <v>12</v>
      </c>
      <c r="B43" s="202" t="s">
        <v>353</v>
      </c>
      <c r="C43" s="442" t="s">
        <v>354</v>
      </c>
      <c r="D43" s="443"/>
      <c r="E43" s="222"/>
      <c r="F43" s="260"/>
      <c r="G43" s="333" t="s">
        <v>478</v>
      </c>
      <c r="H43" s="5"/>
      <c r="M43" s="17"/>
      <c r="N43" s="17"/>
      <c r="O43" s="17"/>
      <c r="P43" s="69"/>
      <c r="Q43" s="17"/>
    </row>
    <row r="44" spans="1:16" ht="18.75">
      <c r="A44" s="163"/>
      <c r="B44" s="82"/>
      <c r="C44" s="498" t="s">
        <v>137</v>
      </c>
      <c r="D44" s="499"/>
      <c r="E44" s="223">
        <v>400</v>
      </c>
      <c r="F44" s="260"/>
      <c r="G44" s="216"/>
      <c r="P44" s="69"/>
    </row>
    <row r="45" spans="1:16" ht="18.75">
      <c r="A45" s="163"/>
      <c r="B45" s="82"/>
      <c r="C45" s="498" t="s">
        <v>162</v>
      </c>
      <c r="D45" s="499"/>
      <c r="E45" s="223">
        <v>457</v>
      </c>
      <c r="F45" s="260"/>
      <c r="G45" s="216"/>
      <c r="P45" s="69"/>
    </row>
    <row r="46" spans="1:16" ht="18.75">
      <c r="A46" s="163"/>
      <c r="B46" s="82"/>
      <c r="C46" s="498" t="s">
        <v>216</v>
      </c>
      <c r="D46" s="499"/>
      <c r="E46" s="224">
        <f>(E44/E45)</f>
        <v>0.87527352297593</v>
      </c>
      <c r="F46" s="260"/>
      <c r="G46" s="216"/>
      <c r="P46" s="69"/>
    </row>
    <row r="47" spans="1:16" ht="19.5" thickBot="1">
      <c r="A47" s="163"/>
      <c r="B47" s="82"/>
      <c r="C47" s="446" t="s">
        <v>140</v>
      </c>
      <c r="D47" s="447"/>
      <c r="E47" s="221">
        <f>IF(E46&gt;=1.25,0,IF(E46&gt;0.25,5-4*E46,4))</f>
        <v>1.49890590809628</v>
      </c>
      <c r="F47" s="260"/>
      <c r="G47" s="216"/>
      <c r="P47" s="69"/>
    </row>
    <row r="48" spans="1:16" ht="19.5" thickBot="1">
      <c r="A48" s="163"/>
      <c r="B48" s="82"/>
      <c r="C48" s="78"/>
      <c r="D48" s="78"/>
      <c r="E48" s="163"/>
      <c r="F48" s="260"/>
      <c r="G48" s="216"/>
      <c r="P48" s="69"/>
    </row>
    <row r="49" spans="1:17" s="29" customFormat="1" ht="27.75" customHeight="1" thickBot="1">
      <c r="A49" s="163">
        <v>13</v>
      </c>
      <c r="B49" s="202" t="s">
        <v>355</v>
      </c>
      <c r="C49" s="500" t="s">
        <v>8</v>
      </c>
      <c r="D49" s="501"/>
      <c r="E49" s="225"/>
      <c r="F49" s="260"/>
      <c r="G49" s="333" t="s">
        <v>479</v>
      </c>
      <c r="H49" s="5"/>
      <c r="M49" s="17"/>
      <c r="N49" s="17"/>
      <c r="O49" s="17"/>
      <c r="P49" s="69"/>
      <c r="Q49" s="17"/>
    </row>
    <row r="50" spans="1:16" ht="18.75">
      <c r="A50" s="163"/>
      <c r="B50" s="82"/>
      <c r="C50" s="508" t="s">
        <v>139</v>
      </c>
      <c r="D50" s="509"/>
      <c r="E50" s="220">
        <v>3.5</v>
      </c>
      <c r="F50" s="260"/>
      <c r="G50" s="216"/>
      <c r="P50" s="69"/>
    </row>
    <row r="51" spans="1:16" ht="19.5" thickBot="1">
      <c r="A51" s="163"/>
      <c r="B51" s="82"/>
      <c r="C51" s="482" t="s">
        <v>140</v>
      </c>
      <c r="D51" s="483"/>
      <c r="E51" s="221">
        <f>IF(E50&gt;4,"Salah Isi",IF(E50&gt;=3,4,IF(E50&gt;2.75,4*E50-8,IF(E50&gt;=2,(4*E50-2)/3,0))))</f>
        <v>4</v>
      </c>
      <c r="F51" s="264"/>
      <c r="G51" s="216"/>
      <c r="P51" s="69"/>
    </row>
    <row r="52" spans="1:16" ht="19.5" thickBot="1">
      <c r="A52" s="163"/>
      <c r="B52" s="82"/>
      <c r="C52" s="78"/>
      <c r="D52" s="78"/>
      <c r="E52" s="163"/>
      <c r="F52" s="260"/>
      <c r="G52" s="216"/>
      <c r="P52" s="69"/>
    </row>
    <row r="53" spans="1:16" ht="29.25" customHeight="1" thickBot="1">
      <c r="A53" s="10">
        <v>14</v>
      </c>
      <c r="B53" s="202" t="s">
        <v>9</v>
      </c>
      <c r="C53" s="513" t="s">
        <v>11</v>
      </c>
      <c r="D53" s="514"/>
      <c r="E53" s="220">
        <v>3</v>
      </c>
      <c r="F53" s="32"/>
      <c r="G53" s="333" t="s">
        <v>691</v>
      </c>
      <c r="P53" s="69"/>
    </row>
    <row r="54" spans="1:16" ht="19.5" thickBot="1">
      <c r="A54" s="10"/>
      <c r="B54" s="176"/>
      <c r="C54" s="444" t="s">
        <v>140</v>
      </c>
      <c r="D54" s="445"/>
      <c r="E54" s="221">
        <f>IF(E53&lt;0,"Salah Isi",IF(E53&lt;=4,E53,"Salah Isi"))</f>
        <v>3</v>
      </c>
      <c r="F54" s="32"/>
      <c r="G54" s="216"/>
      <c r="P54" s="69"/>
    </row>
    <row r="55" spans="1:16" ht="19.5" thickBot="1">
      <c r="A55" s="10"/>
      <c r="B55" s="176"/>
      <c r="E55" s="10"/>
      <c r="F55" s="32"/>
      <c r="G55" s="216"/>
      <c r="P55" s="69"/>
    </row>
    <row r="56" spans="1:17" s="29" customFormat="1" ht="15.75" customHeight="1" thickBot="1">
      <c r="A56" s="191">
        <f>15</f>
        <v>15</v>
      </c>
      <c r="B56" s="192" t="s">
        <v>356</v>
      </c>
      <c r="C56" s="523" t="s">
        <v>357</v>
      </c>
      <c r="D56" s="524"/>
      <c r="E56" s="227"/>
      <c r="F56" s="32"/>
      <c r="G56" s="333" t="s">
        <v>480</v>
      </c>
      <c r="H56" s="5"/>
      <c r="M56" s="17"/>
      <c r="N56" s="17"/>
      <c r="O56" s="17"/>
      <c r="P56" s="69"/>
      <c r="Q56" s="17"/>
    </row>
    <row r="57" spans="1:17" s="29" customFormat="1" ht="28.5" customHeight="1" thickBot="1">
      <c r="A57" s="191"/>
      <c r="B57" s="192"/>
      <c r="C57" s="458" t="s">
        <v>514</v>
      </c>
      <c r="D57" s="459"/>
      <c r="E57" s="223">
        <v>4</v>
      </c>
      <c r="F57" s="32" t="str">
        <f>IF(E57=1,"Benar",IF(E57=2,"Benar",IF(E57=3,"Benar",IF(E57=4,"Benar","Salah"))))</f>
        <v>Benar</v>
      </c>
      <c r="G57" s="349"/>
      <c r="H57" s="5"/>
      <c r="M57" s="17"/>
      <c r="N57" s="17"/>
      <c r="O57" s="17"/>
      <c r="P57" s="69"/>
      <c r="Q57" s="17"/>
    </row>
    <row r="58" spans="1:16" ht="18.75">
      <c r="A58" s="163"/>
      <c r="B58" s="82"/>
      <c r="C58" s="508" t="s">
        <v>651</v>
      </c>
      <c r="D58" s="509"/>
      <c r="E58" s="220">
        <v>0</v>
      </c>
      <c r="F58" s="260"/>
      <c r="G58" s="216"/>
      <c r="P58" s="69"/>
    </row>
    <row r="59" spans="1:16" ht="18.75">
      <c r="A59" s="163"/>
      <c r="B59" s="82"/>
      <c r="C59" s="519" t="s">
        <v>652</v>
      </c>
      <c r="D59" s="520"/>
      <c r="E59" s="228">
        <v>1</v>
      </c>
      <c r="F59" s="260"/>
      <c r="G59" s="216"/>
      <c r="P59" s="69"/>
    </row>
    <row r="60" spans="1:16" ht="18.75">
      <c r="A60" s="163"/>
      <c r="B60" s="82"/>
      <c r="C60" s="521" t="s">
        <v>304</v>
      </c>
      <c r="D60" s="522"/>
      <c r="E60" s="224">
        <f>(E58/E59)</f>
        <v>0</v>
      </c>
      <c r="F60" s="260"/>
      <c r="G60" s="216"/>
      <c r="P60" s="69"/>
    </row>
    <row r="61" spans="1:17" s="29" customFormat="1" ht="18.75">
      <c r="A61" s="163"/>
      <c r="B61" s="82"/>
      <c r="C61" s="346" t="s">
        <v>516</v>
      </c>
      <c r="D61" s="347"/>
      <c r="E61" s="348">
        <f>IF(E60=0,0,IF(E60&lt;80%,(20*E60-4)/3,4))</f>
        <v>0</v>
      </c>
      <c r="F61" s="260"/>
      <c r="G61" s="216"/>
      <c r="H61" s="5"/>
      <c r="M61" s="17"/>
      <c r="N61" s="17"/>
      <c r="O61" s="17"/>
      <c r="P61" s="69"/>
      <c r="Q61" s="17"/>
    </row>
    <row r="62" spans="1:17" s="29" customFormat="1" ht="18.75">
      <c r="A62" s="163"/>
      <c r="B62" s="82"/>
      <c r="C62" s="346" t="s">
        <v>517</v>
      </c>
      <c r="D62" s="347"/>
      <c r="E62" s="348">
        <f>IF(E60=0,0,IF(E60&lt;70%,(20*E60-2)/3,4))</f>
        <v>0</v>
      </c>
      <c r="F62" s="260"/>
      <c r="G62" s="216"/>
      <c r="H62" s="5"/>
      <c r="M62" s="17"/>
      <c r="N62" s="17"/>
      <c r="O62" s="17"/>
      <c r="P62" s="69"/>
      <c r="Q62" s="17"/>
    </row>
    <row r="63" spans="1:17" s="29" customFormat="1" ht="18.75">
      <c r="A63" s="163"/>
      <c r="B63" s="82"/>
      <c r="C63" s="346" t="s">
        <v>518</v>
      </c>
      <c r="D63" s="347"/>
      <c r="E63" s="348">
        <f>IF(E60=0,0,IF(E60&lt;60%,1+5*E60,4))</f>
        <v>0</v>
      </c>
      <c r="F63" s="260"/>
      <c r="G63" s="216"/>
      <c r="H63" s="5"/>
      <c r="M63" s="17"/>
      <c r="N63" s="17"/>
      <c r="O63" s="17"/>
      <c r="P63" s="69"/>
      <c r="Q63" s="17"/>
    </row>
    <row r="64" spans="1:17" s="29" customFormat="1" ht="18.75">
      <c r="A64" s="163"/>
      <c r="B64" s="82"/>
      <c r="C64" s="346" t="s">
        <v>519</v>
      </c>
      <c r="D64" s="347"/>
      <c r="E64" s="348">
        <f>IF(E60=0,0,IF(E60&lt;50%,1+6*E60,4))</f>
        <v>0</v>
      </c>
      <c r="F64" s="260"/>
      <c r="G64" s="216"/>
      <c r="H64" s="5"/>
      <c r="M64" s="17"/>
      <c r="N64" s="17"/>
      <c r="O64" s="17"/>
      <c r="P64" s="69"/>
      <c r="Q64" s="17"/>
    </row>
    <row r="65" spans="1:16" ht="19.5" thickBot="1">
      <c r="A65" s="163"/>
      <c r="B65" s="82"/>
      <c r="C65" s="462" t="s">
        <v>140</v>
      </c>
      <c r="D65" s="463"/>
      <c r="E65" s="221">
        <f>IF(E57=1,E61,IF(E57=2,E62,IF(E57=3,E63,IF(E57=4,E64,"Salah Isi"))))</f>
        <v>0</v>
      </c>
      <c r="F65" s="260"/>
      <c r="G65" s="216"/>
      <c r="P65" s="69"/>
    </row>
    <row r="66" spans="1:16" ht="19.5" thickBot="1">
      <c r="A66" s="218"/>
      <c r="B66" s="82"/>
      <c r="C66" s="78"/>
      <c r="D66" s="78"/>
      <c r="E66" s="163"/>
      <c r="F66" s="260"/>
      <c r="G66" s="216"/>
      <c r="P66" s="69"/>
    </row>
    <row r="67" spans="1:17" s="29" customFormat="1" ht="27.75" customHeight="1" thickBot="1">
      <c r="A67" s="191">
        <v>16</v>
      </c>
      <c r="B67" s="192" t="s">
        <v>358</v>
      </c>
      <c r="C67" s="500" t="s">
        <v>359</v>
      </c>
      <c r="D67" s="501"/>
      <c r="E67" s="225"/>
      <c r="F67" s="260"/>
      <c r="G67" s="333" t="s">
        <v>481</v>
      </c>
      <c r="H67" s="5"/>
      <c r="M67" s="17"/>
      <c r="N67" s="17"/>
      <c r="O67" s="17"/>
      <c r="P67" s="69"/>
      <c r="Q67" s="17"/>
    </row>
    <row r="68" spans="1:16" ht="18.75">
      <c r="A68" s="218"/>
      <c r="B68" s="82"/>
      <c r="C68" s="515" t="s">
        <v>653</v>
      </c>
      <c r="D68" s="516"/>
      <c r="E68" s="220">
        <v>100</v>
      </c>
      <c r="F68" s="260"/>
      <c r="G68" s="216"/>
      <c r="P68" s="69"/>
    </row>
    <row r="69" spans="1:16" ht="18.75">
      <c r="A69" s="218"/>
      <c r="B69" s="82"/>
      <c r="C69" s="517" t="s">
        <v>654</v>
      </c>
      <c r="D69" s="518"/>
      <c r="E69" s="223">
        <v>18</v>
      </c>
      <c r="F69" s="260"/>
      <c r="G69" s="216"/>
      <c r="P69" s="69"/>
    </row>
    <row r="70" spans="1:16" ht="18.75">
      <c r="A70" s="218"/>
      <c r="B70" s="82"/>
      <c r="C70" s="517" t="s">
        <v>655</v>
      </c>
      <c r="D70" s="518"/>
      <c r="E70" s="223">
        <v>75</v>
      </c>
      <c r="F70" s="260"/>
      <c r="G70" s="216"/>
      <c r="P70" s="69"/>
    </row>
    <row r="71" spans="1:16" ht="18.75">
      <c r="A71" s="218"/>
      <c r="B71" s="82"/>
      <c r="C71" s="531" t="s">
        <v>305</v>
      </c>
      <c r="D71" s="532"/>
      <c r="E71" s="224">
        <f>((((E68)-(E69)-(E70))/(E68))*100%)</f>
        <v>0.07</v>
      </c>
      <c r="F71" s="260"/>
      <c r="G71" s="216"/>
      <c r="P71" s="69"/>
    </row>
    <row r="72" spans="1:16" ht="19.5" thickBot="1">
      <c r="A72" s="218"/>
      <c r="B72" s="82"/>
      <c r="C72" s="510" t="s">
        <v>140</v>
      </c>
      <c r="D72" s="511"/>
      <c r="E72" s="221">
        <f>IF(E71&lt;=6%,4,IF(E71&lt;45%,(180-400*E71)/39,0))</f>
        <v>3.8974358974358974</v>
      </c>
      <c r="F72" s="264"/>
      <c r="G72" s="216"/>
      <c r="P72" s="69"/>
    </row>
    <row r="73" spans="1:16" ht="19.5" thickBot="1">
      <c r="A73" s="18"/>
      <c r="B73" s="176"/>
      <c r="E73" s="10"/>
      <c r="F73" s="32"/>
      <c r="G73" s="216"/>
      <c r="P73" s="69"/>
    </row>
    <row r="74" spans="1:16" ht="53.25" customHeight="1" thickBot="1">
      <c r="A74" s="191">
        <v>17</v>
      </c>
      <c r="B74" s="192" t="s">
        <v>12</v>
      </c>
      <c r="C74" s="513" t="s">
        <v>360</v>
      </c>
      <c r="D74" s="514"/>
      <c r="E74" s="220">
        <v>3</v>
      </c>
      <c r="F74" s="32"/>
      <c r="G74" s="333" t="s">
        <v>482</v>
      </c>
      <c r="P74" s="69"/>
    </row>
    <row r="75" spans="1:16" ht="19.5" thickBot="1">
      <c r="A75" s="18"/>
      <c r="B75" s="176"/>
      <c r="C75" s="460" t="s">
        <v>140</v>
      </c>
      <c r="D75" s="461"/>
      <c r="E75" s="221">
        <f>IF(E74&lt;0,"Salah Isi",IF(E74&lt;=4,E74,"Salah Isi"))</f>
        <v>3</v>
      </c>
      <c r="F75" s="32"/>
      <c r="G75" s="216"/>
      <c r="P75" s="69"/>
    </row>
    <row r="76" spans="1:16" ht="19.5" thickBot="1">
      <c r="A76" s="18"/>
      <c r="B76" s="176"/>
      <c r="E76" s="10"/>
      <c r="F76" s="32"/>
      <c r="G76" s="216"/>
      <c r="P76" s="69"/>
    </row>
    <row r="77" spans="1:17" s="29" customFormat="1" ht="53.25" customHeight="1" thickBot="1">
      <c r="A77" s="191">
        <v>18</v>
      </c>
      <c r="B77" s="192" t="s">
        <v>13</v>
      </c>
      <c r="C77" s="500" t="s">
        <v>361</v>
      </c>
      <c r="D77" s="501"/>
      <c r="E77" s="227"/>
      <c r="F77" s="32"/>
      <c r="G77" s="333" t="s">
        <v>483</v>
      </c>
      <c r="H77" s="5"/>
      <c r="M77" s="17"/>
      <c r="N77" s="17"/>
      <c r="O77" s="17"/>
      <c r="P77" s="69"/>
      <c r="Q77" s="17"/>
    </row>
    <row r="78" spans="1:16" ht="28.5" customHeight="1">
      <c r="A78" s="218"/>
      <c r="B78" s="82"/>
      <c r="C78" s="533" t="s">
        <v>306</v>
      </c>
      <c r="D78" s="534"/>
      <c r="E78" s="220">
        <v>18</v>
      </c>
      <c r="F78" s="260" t="str">
        <f>IF(E78&gt;20,"Salah","Benar")</f>
        <v>Benar</v>
      </c>
      <c r="G78" s="216"/>
      <c r="M78" s="67"/>
      <c r="P78" s="69"/>
    </row>
    <row r="79" spans="1:16" ht="18.75">
      <c r="A79" s="218"/>
      <c r="B79" s="82"/>
      <c r="C79" s="537" t="s">
        <v>142</v>
      </c>
      <c r="D79" s="538"/>
      <c r="E79" s="224">
        <f>E78/5</f>
        <v>3.6</v>
      </c>
      <c r="F79" s="260"/>
      <c r="G79" s="216"/>
      <c r="M79" s="67"/>
      <c r="P79" s="69"/>
    </row>
    <row r="80" spans="1:16" ht="19.5" thickBot="1">
      <c r="A80" s="218"/>
      <c r="B80" s="82"/>
      <c r="C80" s="535" t="s">
        <v>140</v>
      </c>
      <c r="D80" s="536"/>
      <c r="E80" s="221">
        <f>IF(E78&gt;20,"Salah Isi",E79)</f>
        <v>3.6</v>
      </c>
      <c r="F80" s="260"/>
      <c r="G80" s="216"/>
      <c r="P80" s="69"/>
    </row>
    <row r="81" spans="1:16" ht="19.5" thickBot="1">
      <c r="A81" s="18"/>
      <c r="B81" s="176"/>
      <c r="E81" s="10"/>
      <c r="F81" s="32"/>
      <c r="G81" s="216"/>
      <c r="P81" s="69"/>
    </row>
    <row r="82" spans="1:16" ht="31.5" customHeight="1" thickBot="1">
      <c r="A82" s="191">
        <v>19</v>
      </c>
      <c r="B82" s="192" t="s">
        <v>468</v>
      </c>
      <c r="C82" s="442" t="s">
        <v>362</v>
      </c>
      <c r="D82" s="443"/>
      <c r="E82" s="220">
        <v>3</v>
      </c>
      <c r="F82" s="32"/>
      <c r="G82" s="333" t="s">
        <v>487</v>
      </c>
      <c r="P82" s="69"/>
    </row>
    <row r="83" spans="1:16" ht="19.5" thickBot="1">
      <c r="A83" s="18"/>
      <c r="B83" s="176"/>
      <c r="C83" s="529" t="s">
        <v>140</v>
      </c>
      <c r="D83" s="530"/>
      <c r="E83" s="221">
        <f>IF(E82&lt;0,"Salah Isi",IF(E82&lt;=4,E82,"Salah Isi"))</f>
        <v>3</v>
      </c>
      <c r="F83" s="32"/>
      <c r="G83" s="216"/>
      <c r="P83" s="69"/>
    </row>
    <row r="84" spans="1:17" s="29" customFormat="1" ht="15" customHeight="1" thickBot="1">
      <c r="A84" s="18"/>
      <c r="B84" s="176"/>
      <c r="C84" s="193"/>
      <c r="D84" s="193"/>
      <c r="E84" s="229"/>
      <c r="F84" s="32"/>
      <c r="G84" s="216"/>
      <c r="H84" s="5"/>
      <c r="M84" s="17"/>
      <c r="N84" s="17"/>
      <c r="O84" s="17"/>
      <c r="P84" s="69"/>
      <c r="Q84" s="17"/>
    </row>
    <row r="85" spans="1:17" s="29" customFormat="1" ht="15" customHeight="1" thickBot="1">
      <c r="A85" s="191">
        <v>20</v>
      </c>
      <c r="B85" s="192" t="s">
        <v>363</v>
      </c>
      <c r="C85" s="525" t="s">
        <v>14</v>
      </c>
      <c r="D85" s="526"/>
      <c r="E85" s="220">
        <v>2</v>
      </c>
      <c r="F85" s="32"/>
      <c r="G85" s="333" t="s">
        <v>488</v>
      </c>
      <c r="H85" s="5"/>
      <c r="M85" s="17"/>
      <c r="N85" s="17"/>
      <c r="O85" s="17"/>
      <c r="P85" s="69"/>
      <c r="Q85" s="17"/>
    </row>
    <row r="86" spans="1:17" s="29" customFormat="1" ht="15" customHeight="1" thickBot="1">
      <c r="A86" s="18"/>
      <c r="B86" s="176"/>
      <c r="C86" s="527" t="s">
        <v>140</v>
      </c>
      <c r="D86" s="528"/>
      <c r="E86" s="221">
        <f>IF(E85&lt;0,"Salah Isi",IF(E85&lt;=4,E85,"Salah Isi"))</f>
        <v>2</v>
      </c>
      <c r="F86" s="32"/>
      <c r="G86" s="216"/>
      <c r="H86" s="5"/>
      <c r="M86" s="17"/>
      <c r="N86" s="17"/>
      <c r="O86" s="17"/>
      <c r="P86" s="69"/>
      <c r="Q86" s="17"/>
    </row>
    <row r="87" spans="1:16" ht="15" customHeight="1" thickBot="1">
      <c r="A87" s="18"/>
      <c r="B87" s="176"/>
      <c r="E87" s="10"/>
      <c r="F87" s="32"/>
      <c r="G87" s="216"/>
      <c r="P87" s="69"/>
    </row>
    <row r="88" spans="1:16" ht="42" customHeight="1" thickBot="1">
      <c r="A88" s="191">
        <v>21</v>
      </c>
      <c r="B88" s="192" t="s">
        <v>364</v>
      </c>
      <c r="C88" s="442" t="s">
        <v>365</v>
      </c>
      <c r="D88" s="443"/>
      <c r="E88" s="220">
        <v>2</v>
      </c>
      <c r="F88" s="32"/>
      <c r="G88" s="333" t="s">
        <v>489</v>
      </c>
      <c r="P88" s="69"/>
    </row>
    <row r="89" spans="1:16" ht="15" customHeight="1" thickBot="1">
      <c r="A89" s="18"/>
      <c r="B89" s="176"/>
      <c r="C89" s="444" t="s">
        <v>140</v>
      </c>
      <c r="D89" s="445"/>
      <c r="E89" s="221">
        <f>IF(E88&lt;0,"Salah Isi",IF(E88&lt;=4,E88,"Salah Isi"))</f>
        <v>2</v>
      </c>
      <c r="F89" s="32"/>
      <c r="G89" s="216"/>
      <c r="P89" s="69"/>
    </row>
    <row r="90" spans="1:16" ht="19.5" thickBot="1">
      <c r="A90" s="18"/>
      <c r="B90" s="176"/>
      <c r="E90" s="10"/>
      <c r="F90" s="32"/>
      <c r="G90" s="216"/>
      <c r="P90" s="69"/>
    </row>
    <row r="91" spans="1:17" s="29" customFormat="1" ht="29.25" customHeight="1" thickBot="1">
      <c r="A91" s="191">
        <v>22</v>
      </c>
      <c r="B91" s="192" t="s">
        <v>366</v>
      </c>
      <c r="C91" s="500" t="s">
        <v>367</v>
      </c>
      <c r="D91" s="501"/>
      <c r="E91" s="227"/>
      <c r="F91" s="32"/>
      <c r="G91" s="333" t="s">
        <v>490</v>
      </c>
      <c r="H91" s="5"/>
      <c r="M91" s="17"/>
      <c r="N91" s="17"/>
      <c r="O91" s="17"/>
      <c r="P91" s="69"/>
      <c r="Q91" s="17"/>
    </row>
    <row r="92" spans="1:16" ht="18.75">
      <c r="A92" s="218"/>
      <c r="B92" s="82"/>
      <c r="C92" s="515" t="s">
        <v>692</v>
      </c>
      <c r="D92" s="516"/>
      <c r="E92" s="230">
        <v>0</v>
      </c>
      <c r="F92" s="260" t="str">
        <f>IF(E92&lt;0,"Salah",IF(E92&lt;=7,"Benar","Salah"))</f>
        <v>Benar</v>
      </c>
      <c r="G92" s="216"/>
      <c r="P92" s="69"/>
    </row>
    <row r="93" spans="1:16" ht="18.75">
      <c r="A93" s="218"/>
      <c r="B93" s="82"/>
      <c r="C93" s="517" t="s">
        <v>693</v>
      </c>
      <c r="D93" s="518"/>
      <c r="E93" s="231">
        <v>0</v>
      </c>
      <c r="F93" s="260" t="str">
        <f>IF(E93&lt;0,"Salah",IF(E93&lt;=7,"Benar","Salah"))</f>
        <v>Benar</v>
      </c>
      <c r="G93" s="216"/>
      <c r="P93" s="69"/>
    </row>
    <row r="94" spans="1:16" ht="18.75">
      <c r="A94" s="218"/>
      <c r="B94" s="82"/>
      <c r="C94" s="517" t="s">
        <v>694</v>
      </c>
      <c r="D94" s="518"/>
      <c r="E94" s="231">
        <v>0</v>
      </c>
      <c r="F94" s="260" t="str">
        <f>IF(E94&lt;0,"Salah",IF(E94&lt;=7,"Benar","Salah"))</f>
        <v>Benar</v>
      </c>
      <c r="G94" s="216"/>
      <c r="P94" s="69"/>
    </row>
    <row r="95" spans="1:16" ht="18.75">
      <c r="A95" s="218"/>
      <c r="B95" s="82"/>
      <c r="C95" s="517" t="s">
        <v>695</v>
      </c>
      <c r="D95" s="518"/>
      <c r="E95" s="231">
        <v>7</v>
      </c>
      <c r="F95" s="260" t="str">
        <f>IF(E95&lt;0,"Salah",IF(E95&lt;=7,"Benar","Salah"))</f>
        <v>Benar</v>
      </c>
      <c r="G95" s="216"/>
      <c r="P95" s="69"/>
    </row>
    <row r="96" spans="1:16" ht="19.5" thickBot="1">
      <c r="A96" s="218"/>
      <c r="B96" s="82"/>
      <c r="C96" s="510" t="s">
        <v>307</v>
      </c>
      <c r="D96" s="511"/>
      <c r="E96" s="232">
        <f>IF((E92+E93+E94+E95)&gt;7,"Salah Isi",((4*E92)+(3*E93)+(2*E94)+(E95))/7)</f>
        <v>1</v>
      </c>
      <c r="F96" s="260"/>
      <c r="G96" s="216"/>
      <c r="P96" s="69"/>
    </row>
    <row r="97" spans="1:16" ht="19.5" thickBot="1">
      <c r="A97" s="218"/>
      <c r="B97" s="82"/>
      <c r="C97" s="462" t="s">
        <v>140</v>
      </c>
      <c r="D97" s="463"/>
      <c r="E97" s="221">
        <f>E96</f>
        <v>1</v>
      </c>
      <c r="F97" s="264"/>
      <c r="G97" s="216"/>
      <c r="P97" s="69"/>
    </row>
    <row r="98" spans="1:17" s="29" customFormat="1" ht="19.5" thickBot="1">
      <c r="A98" s="218"/>
      <c r="B98" s="82"/>
      <c r="C98" s="161"/>
      <c r="D98" s="161"/>
      <c r="E98" s="229"/>
      <c r="F98" s="260"/>
      <c r="G98" s="216"/>
      <c r="H98" s="5"/>
      <c r="M98" s="17"/>
      <c r="N98" s="17"/>
      <c r="O98" s="17"/>
      <c r="P98" s="69"/>
      <c r="Q98" s="17"/>
    </row>
    <row r="99" spans="1:17" s="29" customFormat="1" ht="32.25" customHeight="1" thickBot="1">
      <c r="A99" s="191">
        <v>23</v>
      </c>
      <c r="B99" s="192" t="s">
        <v>15</v>
      </c>
      <c r="C99" s="442" t="s">
        <v>368</v>
      </c>
      <c r="D99" s="443"/>
      <c r="E99" s="220">
        <v>2</v>
      </c>
      <c r="F99" s="260"/>
      <c r="G99" s="333" t="s">
        <v>491</v>
      </c>
      <c r="H99" s="5"/>
      <c r="M99" s="17"/>
      <c r="N99" s="17"/>
      <c r="O99" s="17"/>
      <c r="P99" s="69"/>
      <c r="Q99" s="17"/>
    </row>
    <row r="100" spans="1:17" s="29" customFormat="1" ht="19.5" thickBot="1">
      <c r="A100" s="218"/>
      <c r="B100" s="82"/>
      <c r="C100" s="502" t="s">
        <v>140</v>
      </c>
      <c r="D100" s="503"/>
      <c r="E100" s="221">
        <f>IF(E99&lt;0,"Salah Isi",IF(E99&lt;=4,E99,"Salah Isi"))</f>
        <v>2</v>
      </c>
      <c r="F100" s="260"/>
      <c r="G100" s="216"/>
      <c r="H100" s="5"/>
      <c r="M100" s="17"/>
      <c r="N100" s="17"/>
      <c r="O100" s="17"/>
      <c r="P100" s="69"/>
      <c r="Q100" s="17"/>
    </row>
    <row r="101" spans="1:17" s="29" customFormat="1" ht="19.5" thickBot="1">
      <c r="A101" s="218"/>
      <c r="B101" s="82"/>
      <c r="C101" s="161"/>
      <c r="D101" s="161"/>
      <c r="E101" s="229"/>
      <c r="F101" s="260"/>
      <c r="G101" s="216"/>
      <c r="H101" s="5"/>
      <c r="M101" s="17"/>
      <c r="N101" s="17"/>
      <c r="O101" s="17"/>
      <c r="P101" s="69"/>
      <c r="Q101" s="17"/>
    </row>
    <row r="102" spans="1:16" ht="27" customHeight="1" thickBot="1">
      <c r="A102" s="191">
        <v>24</v>
      </c>
      <c r="B102" s="192" t="s">
        <v>369</v>
      </c>
      <c r="C102" s="513" t="s">
        <v>370</v>
      </c>
      <c r="D102" s="514"/>
      <c r="E102" s="220">
        <v>30</v>
      </c>
      <c r="F102" s="260" t="s">
        <v>485</v>
      </c>
      <c r="G102" s="333" t="s">
        <v>492</v>
      </c>
      <c r="P102" s="69"/>
    </row>
    <row r="103" spans="1:16" ht="19.5" thickBot="1">
      <c r="A103" s="218"/>
      <c r="B103" s="82"/>
      <c r="C103" s="482" t="s">
        <v>140</v>
      </c>
      <c r="D103" s="483"/>
      <c r="E103" s="221">
        <f>IF(E102&lt;=6,4,IF(E102&lt;30,5-(E102/6),0))</f>
        <v>0</v>
      </c>
      <c r="F103" s="264"/>
      <c r="G103" s="216"/>
      <c r="P103" s="69"/>
    </row>
    <row r="104" spans="1:16" ht="19.5" thickBot="1">
      <c r="A104" s="218"/>
      <c r="B104" s="82"/>
      <c r="C104" s="78"/>
      <c r="D104" s="78"/>
      <c r="E104" s="163"/>
      <c r="F104" s="260"/>
      <c r="G104" s="216"/>
      <c r="P104" s="69"/>
    </row>
    <row r="105" spans="1:16" ht="47.25" customHeight="1" thickBot="1">
      <c r="A105" s="191">
        <v>25</v>
      </c>
      <c r="B105" s="192" t="s">
        <v>371</v>
      </c>
      <c r="C105" s="513" t="s">
        <v>714</v>
      </c>
      <c r="D105" s="514"/>
      <c r="E105" s="220">
        <v>0</v>
      </c>
      <c r="F105" s="260" t="str">
        <f>IF(E105&lt;0,"Salah",IF(E105&lt;=1,"Benar","Salah"))</f>
        <v>Benar</v>
      </c>
      <c r="G105" s="333" t="s">
        <v>493</v>
      </c>
      <c r="P105" s="69"/>
    </row>
    <row r="106" spans="1:16" ht="19.5" thickBot="1">
      <c r="A106" s="218"/>
      <c r="B106" s="82"/>
      <c r="C106" s="482" t="s">
        <v>140</v>
      </c>
      <c r="D106" s="483"/>
      <c r="E106" s="221">
        <f>IF(E105&gt;1,"Salah Isi",IF(E105&gt;=80%,4,5*E105))</f>
        <v>0</v>
      </c>
      <c r="F106" s="260"/>
      <c r="G106" s="216"/>
      <c r="P106" s="69"/>
    </row>
    <row r="107" spans="1:17" s="29" customFormat="1" ht="19.5" thickBot="1">
      <c r="A107" s="218"/>
      <c r="B107" s="82"/>
      <c r="C107" s="238"/>
      <c r="D107" s="238"/>
      <c r="E107" s="229"/>
      <c r="F107" s="260"/>
      <c r="G107" s="216"/>
      <c r="H107" s="5"/>
      <c r="M107" s="17"/>
      <c r="N107" s="17"/>
      <c r="O107" s="17"/>
      <c r="P107" s="69"/>
      <c r="Q107" s="17"/>
    </row>
    <row r="108" spans="1:17" s="29" customFormat="1" ht="40.5" customHeight="1" thickBot="1">
      <c r="A108" s="191">
        <v>26</v>
      </c>
      <c r="B108" s="192" t="s">
        <v>373</v>
      </c>
      <c r="C108" s="442" t="s">
        <v>715</v>
      </c>
      <c r="D108" s="443"/>
      <c r="E108" s="430">
        <v>0</v>
      </c>
      <c r="F108" s="260" t="str">
        <f>IF(E108&lt;0,"Salah",IF(E108&lt;=1,"Benar","Salah"))</f>
        <v>Benar</v>
      </c>
      <c r="G108" s="333" t="s">
        <v>494</v>
      </c>
      <c r="H108" s="5"/>
      <c r="M108" s="17"/>
      <c r="N108" s="17"/>
      <c r="O108" s="17"/>
      <c r="P108" s="69"/>
      <c r="Q108" s="17"/>
    </row>
    <row r="109" spans="1:17" s="29" customFormat="1" ht="19.5" thickBot="1">
      <c r="A109" s="218"/>
      <c r="B109" s="82"/>
      <c r="C109" s="496" t="s">
        <v>140</v>
      </c>
      <c r="D109" s="497"/>
      <c r="E109" s="221">
        <f>IF(E108&lt;0,"Salah Isi",IF(E108=0,0,IF(E108&lt;10%,1+(E108*30),IF(E108&lt;=100%,4,"Salah Isi"))))</f>
        <v>0</v>
      </c>
      <c r="F109" s="264"/>
      <c r="G109" s="216"/>
      <c r="H109" s="5"/>
      <c r="M109" s="17"/>
      <c r="N109" s="17"/>
      <c r="O109" s="17"/>
      <c r="P109" s="69"/>
      <c r="Q109" s="17"/>
    </row>
    <row r="110" spans="1:17" s="29" customFormat="1" ht="19.5" thickBot="1">
      <c r="A110" s="218"/>
      <c r="B110" s="82"/>
      <c r="C110" s="238"/>
      <c r="D110" s="238"/>
      <c r="E110" s="229"/>
      <c r="F110" s="260"/>
      <c r="G110" s="216"/>
      <c r="H110" s="5"/>
      <c r="M110" s="17"/>
      <c r="N110" s="17"/>
      <c r="O110" s="17"/>
      <c r="P110" s="69"/>
      <c r="Q110" s="17"/>
    </row>
    <row r="111" spans="1:16" ht="29.25" customHeight="1" thickBot="1">
      <c r="A111" s="191">
        <v>27</v>
      </c>
      <c r="B111" s="242" t="s">
        <v>465</v>
      </c>
      <c r="C111" s="442" t="s">
        <v>374</v>
      </c>
      <c r="D111" s="443"/>
      <c r="E111" s="220">
        <v>3</v>
      </c>
      <c r="F111" s="32"/>
      <c r="G111" s="333" t="s">
        <v>495</v>
      </c>
      <c r="P111" s="69"/>
    </row>
    <row r="112" spans="1:16" ht="19.5" thickBot="1">
      <c r="A112" s="18"/>
      <c r="B112" s="176"/>
      <c r="C112" s="444" t="s">
        <v>140</v>
      </c>
      <c r="D112" s="445"/>
      <c r="E112" s="221">
        <f>IF(E111&lt;0,"Salah Isi",IF(E111&lt;=4,E111,"Salah Isi"))</f>
        <v>3</v>
      </c>
      <c r="F112" s="32"/>
      <c r="G112" s="216"/>
      <c r="P112" s="69"/>
    </row>
    <row r="113" spans="1:16" ht="14.25" customHeight="1" thickBot="1">
      <c r="A113" s="18"/>
      <c r="B113" s="176"/>
      <c r="E113" s="10"/>
      <c r="F113" s="32"/>
      <c r="G113" s="216"/>
      <c r="P113" s="69"/>
    </row>
    <row r="114" spans="1:16" ht="52.5" customHeight="1" thickBot="1">
      <c r="A114" s="191">
        <v>28</v>
      </c>
      <c r="B114" s="242" t="s">
        <v>318</v>
      </c>
      <c r="C114" s="454" t="s">
        <v>375</v>
      </c>
      <c r="D114" s="455"/>
      <c r="E114" s="220">
        <v>2</v>
      </c>
      <c r="F114" s="32"/>
      <c r="G114" s="333" t="s">
        <v>497</v>
      </c>
      <c r="P114" s="69"/>
    </row>
    <row r="115" spans="1:16" ht="19.5" thickBot="1">
      <c r="A115" s="18"/>
      <c r="B115" s="176"/>
      <c r="C115" s="444" t="s">
        <v>140</v>
      </c>
      <c r="D115" s="445"/>
      <c r="E115" s="221">
        <f>IF(E114&lt;0,"Salah Isi",IF(E114&lt;=4,E114,"Salah Isi"))</f>
        <v>2</v>
      </c>
      <c r="F115" s="32"/>
      <c r="G115" s="216"/>
      <c r="P115" s="69"/>
    </row>
    <row r="116" spans="1:16" ht="14.25" customHeight="1" thickBot="1">
      <c r="A116" s="18"/>
      <c r="B116" s="176"/>
      <c r="E116" s="10"/>
      <c r="F116" s="32"/>
      <c r="G116" s="216"/>
      <c r="P116" s="69"/>
    </row>
    <row r="117" spans="1:16" ht="55.5" customHeight="1" thickBot="1">
      <c r="A117" s="191">
        <v>29</v>
      </c>
      <c r="B117" s="192" t="s">
        <v>16</v>
      </c>
      <c r="C117" s="454" t="s">
        <v>376</v>
      </c>
      <c r="D117" s="455"/>
      <c r="E117" s="220">
        <v>3</v>
      </c>
      <c r="F117" s="32"/>
      <c r="G117" s="333" t="s">
        <v>497</v>
      </c>
      <c r="P117" s="69"/>
    </row>
    <row r="118" spans="1:16" ht="19.5" thickBot="1">
      <c r="A118" s="18"/>
      <c r="B118" s="176"/>
      <c r="C118" s="444" t="s">
        <v>140</v>
      </c>
      <c r="D118" s="445"/>
      <c r="E118" s="221">
        <f>IF(E117&lt;0,"Salah Isi",IF(E117&lt;=4,E117,"Salah Isi"))</f>
        <v>3</v>
      </c>
      <c r="F118" s="32"/>
      <c r="G118" s="216"/>
      <c r="P118" s="69"/>
    </row>
    <row r="119" spans="1:16" ht="19.5" thickBot="1">
      <c r="A119" s="18"/>
      <c r="B119" s="176"/>
      <c r="E119" s="10"/>
      <c r="F119" s="32"/>
      <c r="G119" s="216"/>
      <c r="P119" s="69"/>
    </row>
    <row r="120" spans="1:16" ht="42.75" customHeight="1" thickBot="1">
      <c r="A120" s="191">
        <v>30</v>
      </c>
      <c r="B120" s="192" t="s">
        <v>17</v>
      </c>
      <c r="C120" s="454" t="s">
        <v>377</v>
      </c>
      <c r="D120" s="455"/>
      <c r="E120" s="220">
        <v>2</v>
      </c>
      <c r="F120" s="32"/>
      <c r="G120" s="333" t="s">
        <v>474</v>
      </c>
      <c r="P120" s="69"/>
    </row>
    <row r="121" spans="1:16" ht="19.5" thickBot="1">
      <c r="A121" s="18"/>
      <c r="B121" s="176"/>
      <c r="C121" s="444" t="s">
        <v>140</v>
      </c>
      <c r="D121" s="445"/>
      <c r="E121" s="221">
        <f>IF(E120&lt;0,"Salah Isi",IF(E120&lt;=4,E120,"Salah Isi"))</f>
        <v>2</v>
      </c>
      <c r="F121" s="32"/>
      <c r="G121" s="216"/>
      <c r="P121" s="69"/>
    </row>
    <row r="122" spans="1:16" ht="19.5" thickBot="1">
      <c r="A122" s="18"/>
      <c r="B122" s="176"/>
      <c r="E122" s="10"/>
      <c r="F122" s="32"/>
      <c r="G122" s="216"/>
      <c r="P122" s="69"/>
    </row>
    <row r="123" spans="1:17" s="29" customFormat="1" ht="41.25" customHeight="1" thickBot="1">
      <c r="A123" s="191">
        <v>31</v>
      </c>
      <c r="B123" s="192" t="s">
        <v>378</v>
      </c>
      <c r="C123" s="442" t="s">
        <v>18</v>
      </c>
      <c r="D123" s="443"/>
      <c r="E123" s="243"/>
      <c r="F123" s="32"/>
      <c r="G123" s="333" t="s">
        <v>498</v>
      </c>
      <c r="H123" s="5"/>
      <c r="M123" s="17"/>
      <c r="N123" s="17"/>
      <c r="O123" s="17"/>
      <c r="P123" s="69"/>
      <c r="Q123" s="17"/>
    </row>
    <row r="124" spans="1:16" ht="18.75">
      <c r="A124" s="218"/>
      <c r="B124" s="82"/>
      <c r="C124" s="217" t="s">
        <v>204</v>
      </c>
      <c r="D124" s="84"/>
      <c r="E124" s="223">
        <v>32</v>
      </c>
      <c r="F124" s="260"/>
      <c r="G124" s="216"/>
      <c r="P124" s="69"/>
    </row>
    <row r="125" spans="1:16" ht="32.25" customHeight="1">
      <c r="A125" s="218"/>
      <c r="B125" s="82"/>
      <c r="C125" s="476" t="s">
        <v>496</v>
      </c>
      <c r="D125" s="477"/>
      <c r="E125" s="223">
        <v>23</v>
      </c>
      <c r="F125" s="261"/>
      <c r="G125" s="216"/>
      <c r="P125" s="69"/>
    </row>
    <row r="126" spans="1:16" ht="18.75">
      <c r="A126" s="218"/>
      <c r="B126" s="82"/>
      <c r="C126" s="498" t="s">
        <v>144</v>
      </c>
      <c r="D126" s="499"/>
      <c r="E126" s="224">
        <f>(E125/E124)*100%</f>
        <v>0.71875</v>
      </c>
      <c r="F126" s="260"/>
      <c r="G126" s="216"/>
      <c r="P126" s="69"/>
    </row>
    <row r="127" spans="1:16" ht="19.5" thickBot="1">
      <c r="A127" s="218"/>
      <c r="B127" s="82"/>
      <c r="C127" s="446" t="s">
        <v>140</v>
      </c>
      <c r="D127" s="447"/>
      <c r="E127" s="221">
        <f>IF(E126&gt;=90%,4,IF(E126&gt;30%,(20*E126-6)/3,0))</f>
        <v>2.7916666666666665</v>
      </c>
      <c r="F127" s="260"/>
      <c r="G127" s="216"/>
      <c r="P127" s="69"/>
    </row>
    <row r="128" spans="1:16" ht="19.5" thickBot="1">
      <c r="A128" s="218"/>
      <c r="B128" s="82"/>
      <c r="C128" s="78"/>
      <c r="D128" s="78"/>
      <c r="E128" s="163"/>
      <c r="F128" s="260"/>
      <c r="G128" s="216"/>
      <c r="P128" s="69"/>
    </row>
    <row r="129" spans="1:17" s="29" customFormat="1" ht="39.75" customHeight="1" thickBot="1">
      <c r="A129" s="191">
        <v>32</v>
      </c>
      <c r="B129" s="192" t="s">
        <v>379</v>
      </c>
      <c r="C129" s="442" t="s">
        <v>380</v>
      </c>
      <c r="D129" s="443"/>
      <c r="E129" s="222"/>
      <c r="F129" s="260"/>
      <c r="G129" s="333" t="s">
        <v>498</v>
      </c>
      <c r="H129" s="5"/>
      <c r="M129" s="17"/>
      <c r="N129" s="17"/>
      <c r="O129" s="17"/>
      <c r="P129" s="69"/>
      <c r="Q129" s="17"/>
    </row>
    <row r="130" spans="1:7" ht="15">
      <c r="A130" s="218"/>
      <c r="B130" s="82"/>
      <c r="C130" s="217" t="s">
        <v>204</v>
      </c>
      <c r="D130" s="84"/>
      <c r="E130" s="223">
        <v>32</v>
      </c>
      <c r="F130" s="260"/>
      <c r="G130" s="216"/>
    </row>
    <row r="131" spans="1:7" ht="15">
      <c r="A131" s="218"/>
      <c r="B131" s="82"/>
      <c r="C131" s="217" t="s">
        <v>499</v>
      </c>
      <c r="D131" s="84"/>
      <c r="E131" s="223">
        <v>4</v>
      </c>
      <c r="F131" s="260"/>
      <c r="G131" s="216"/>
    </row>
    <row r="132" spans="1:7" ht="15">
      <c r="A132" s="218"/>
      <c r="B132" s="82"/>
      <c r="C132" s="498" t="s">
        <v>656</v>
      </c>
      <c r="D132" s="499"/>
      <c r="E132" s="224">
        <f>(E131/E130)*100%</f>
        <v>0.125</v>
      </c>
      <c r="F132" s="260"/>
      <c r="G132" s="216"/>
    </row>
    <row r="133" spans="1:7" ht="15.75" thickBot="1">
      <c r="A133" s="218"/>
      <c r="B133" s="82"/>
      <c r="C133" s="446" t="s">
        <v>140</v>
      </c>
      <c r="D133" s="447"/>
      <c r="E133" s="221">
        <f>IF(E132&lt;=10%,0,IF(E132&lt;40%,(40*E132-4)/3,4))</f>
        <v>0.3333333333333333</v>
      </c>
      <c r="F133" s="260"/>
      <c r="G133" s="216"/>
    </row>
    <row r="134" spans="1:17" s="29" customFormat="1" ht="15">
      <c r="A134" s="218"/>
      <c r="B134" s="82"/>
      <c r="C134" s="161"/>
      <c r="D134" s="161"/>
      <c r="E134" s="229"/>
      <c r="F134" s="260"/>
      <c r="G134" s="216"/>
      <c r="H134" s="5"/>
      <c r="M134" s="17"/>
      <c r="N134" s="17"/>
      <c r="O134" s="17"/>
      <c r="P134" s="17"/>
      <c r="Q134" s="17"/>
    </row>
    <row r="135" spans="1:7" ht="15">
      <c r="A135" s="218"/>
      <c r="B135" s="205" t="s">
        <v>203</v>
      </c>
      <c r="C135" s="79"/>
      <c r="D135" s="79"/>
      <c r="E135" s="233"/>
      <c r="F135" s="260"/>
      <c r="G135" s="216"/>
    </row>
    <row r="136" spans="1:7" ht="15.75" thickBot="1">
      <c r="A136" s="218"/>
      <c r="B136" s="206"/>
      <c r="C136" s="89" t="s">
        <v>217</v>
      </c>
      <c r="D136" s="79"/>
      <c r="E136" s="233"/>
      <c r="F136" s="260"/>
      <c r="G136" s="216"/>
    </row>
    <row r="137" spans="1:7" ht="15.75" thickBot="1">
      <c r="A137" s="191">
        <v>33</v>
      </c>
      <c r="B137" s="192" t="s">
        <v>381</v>
      </c>
      <c r="C137" s="245" t="s">
        <v>696</v>
      </c>
      <c r="D137" s="246"/>
      <c r="E137" s="220">
        <v>240</v>
      </c>
      <c r="F137" s="260"/>
      <c r="G137" s="333" t="s">
        <v>477</v>
      </c>
    </row>
    <row r="138" spans="1:7" ht="15">
      <c r="A138" s="218"/>
      <c r="B138" s="82"/>
      <c r="C138" s="217" t="s">
        <v>697</v>
      </c>
      <c r="D138" s="84"/>
      <c r="E138" s="223"/>
      <c r="F138" s="260"/>
      <c r="G138" s="216"/>
    </row>
    <row r="139" spans="1:7" ht="15">
      <c r="A139" s="218"/>
      <c r="B139" s="82"/>
      <c r="C139" s="247" t="s">
        <v>698</v>
      </c>
      <c r="D139" s="91"/>
      <c r="E139" s="223">
        <v>32</v>
      </c>
      <c r="F139" s="260"/>
      <c r="G139" s="216"/>
    </row>
    <row r="140" spans="1:7" ht="15">
      <c r="A140" s="218"/>
      <c r="B140" s="82"/>
      <c r="C140" s="428" t="s">
        <v>699</v>
      </c>
      <c r="D140" s="177"/>
      <c r="E140" s="223"/>
      <c r="F140" s="260"/>
      <c r="G140" s="216"/>
    </row>
    <row r="141" spans="1:7" ht="15">
      <c r="A141" s="218"/>
      <c r="B141" s="82"/>
      <c r="C141" s="429" t="s">
        <v>700</v>
      </c>
      <c r="D141" s="179"/>
      <c r="E141" s="224">
        <f>E137/E139</f>
        <v>7.5</v>
      </c>
      <c r="F141" s="260"/>
      <c r="G141" s="216"/>
    </row>
    <row r="142" spans="1:7" ht="15">
      <c r="A142" s="218"/>
      <c r="B142" s="82"/>
      <c r="C142" s="521" t="s">
        <v>701</v>
      </c>
      <c r="D142" s="522"/>
      <c r="E142" s="224" t="e">
        <f>E138/E140</f>
        <v>#DIV/0!</v>
      </c>
      <c r="F142" s="260"/>
      <c r="G142" s="216"/>
    </row>
    <row r="143" spans="1:7" ht="15">
      <c r="A143" s="218"/>
      <c r="B143" s="82"/>
      <c r="C143" s="217" t="s">
        <v>140</v>
      </c>
      <c r="D143" s="84" t="s">
        <v>702</v>
      </c>
      <c r="E143" s="224" t="e">
        <f>IF(E142&lt;=5,0,IF(E142&lt;27,2*(E142-5)/11,IF(E142&lt;=33,4,IF(E142&lt;70,4*(70-E142)/37,0))))</f>
        <v>#DIV/0!</v>
      </c>
      <c r="F143" s="260"/>
      <c r="G143" s="216"/>
    </row>
    <row r="144" spans="1:7" ht="15">
      <c r="A144" s="218"/>
      <c r="B144" s="82"/>
      <c r="C144" s="217" t="s">
        <v>140</v>
      </c>
      <c r="D144" s="84" t="s">
        <v>703</v>
      </c>
      <c r="E144" s="248">
        <f>IF(E141&lt;17,4*E141/17,IF(E141&lt;=23,4,IF(E141&lt;60,4*(60-E141)/37,0)))</f>
        <v>1.7647058823529411</v>
      </c>
      <c r="F144" s="260"/>
      <c r="G144" s="216"/>
    </row>
    <row r="145" spans="1:7" ht="15.75" thickBot="1">
      <c r="A145" s="218"/>
      <c r="B145" s="82"/>
      <c r="C145" s="482" t="s">
        <v>140</v>
      </c>
      <c r="D145" s="483"/>
      <c r="E145" s="221">
        <f>IF(E137&gt;0,E144,E143)</f>
        <v>1.7647058823529411</v>
      </c>
      <c r="F145" s="260"/>
      <c r="G145" s="216"/>
    </row>
    <row r="146" spans="1:17" s="29" customFormat="1" ht="15.75" thickBot="1">
      <c r="A146" s="218"/>
      <c r="B146" s="82"/>
      <c r="C146" s="82"/>
      <c r="D146" s="82"/>
      <c r="E146" s="229"/>
      <c r="F146" s="260"/>
      <c r="G146" s="216"/>
      <c r="H146" s="5"/>
      <c r="M146" s="17"/>
      <c r="N146" s="17"/>
      <c r="O146" s="17"/>
      <c r="P146" s="17"/>
      <c r="Q146" s="17"/>
    </row>
    <row r="147" spans="1:17" s="29" customFormat="1" ht="25.5" customHeight="1" thickBot="1">
      <c r="A147" s="191">
        <v>34</v>
      </c>
      <c r="B147" s="192" t="s">
        <v>383</v>
      </c>
      <c r="C147" s="442" t="s">
        <v>384</v>
      </c>
      <c r="D147" s="443"/>
      <c r="E147" s="222"/>
      <c r="F147" s="260"/>
      <c r="G147" s="333" t="s">
        <v>498</v>
      </c>
      <c r="H147" s="5"/>
      <c r="M147" s="17"/>
      <c r="N147" s="17"/>
      <c r="O147" s="17"/>
      <c r="P147" s="17"/>
      <c r="Q147" s="17"/>
    </row>
    <row r="148" spans="1:7" ht="15">
      <c r="A148" s="218"/>
      <c r="B148" s="82"/>
      <c r="C148" s="217" t="s">
        <v>205</v>
      </c>
      <c r="D148" s="84"/>
      <c r="E148" s="223">
        <v>32</v>
      </c>
      <c r="F148" s="260"/>
      <c r="G148" s="216"/>
    </row>
    <row r="149" spans="1:7" ht="30" customHeight="1">
      <c r="A149" s="218"/>
      <c r="B149" s="82"/>
      <c r="C149" s="476" t="s">
        <v>500</v>
      </c>
      <c r="D149" s="477"/>
      <c r="E149" s="223">
        <v>9</v>
      </c>
      <c r="F149" s="260"/>
      <c r="G149" s="216"/>
    </row>
    <row r="150" spans="1:7" ht="15">
      <c r="A150" s="218"/>
      <c r="B150" s="82"/>
      <c r="C150" s="498" t="s">
        <v>145</v>
      </c>
      <c r="D150" s="499"/>
      <c r="E150" s="224">
        <f>(E149/E148)*100%</f>
        <v>0.28125</v>
      </c>
      <c r="F150" s="260"/>
      <c r="G150" s="216"/>
    </row>
    <row r="151" spans="1:7" ht="15.75" thickBot="1">
      <c r="A151" s="218"/>
      <c r="B151" s="82"/>
      <c r="C151" s="446" t="s">
        <v>140</v>
      </c>
      <c r="D151" s="447"/>
      <c r="E151" s="221">
        <f>IF(E150=0,0,IF(E150&lt;40%,10*E150,IF(E150&lt;=100%,4,"Salah Isi")))</f>
        <v>2.8125</v>
      </c>
      <c r="F151" s="260"/>
      <c r="G151" s="216"/>
    </row>
    <row r="152" spans="1:17" s="29" customFormat="1" ht="15.75" thickBot="1">
      <c r="A152" s="218"/>
      <c r="B152" s="82"/>
      <c r="C152" s="82"/>
      <c r="D152" s="82"/>
      <c r="E152" s="229"/>
      <c r="F152" s="260"/>
      <c r="G152" s="216"/>
      <c r="H152" s="5"/>
      <c r="M152" s="17"/>
      <c r="N152" s="17"/>
      <c r="O152" s="17"/>
      <c r="P152" s="17"/>
      <c r="Q152" s="17"/>
    </row>
    <row r="153" spans="1:17" s="29" customFormat="1" ht="30" customHeight="1" thickBot="1">
      <c r="A153" s="191">
        <v>35</v>
      </c>
      <c r="B153" s="192" t="s">
        <v>385</v>
      </c>
      <c r="C153" s="442" t="s">
        <v>501</v>
      </c>
      <c r="D153" s="443"/>
      <c r="E153" s="236"/>
      <c r="F153" s="260"/>
      <c r="G153" s="333" t="s">
        <v>498</v>
      </c>
      <c r="H153" s="5"/>
      <c r="M153" s="17"/>
      <c r="N153" s="17"/>
      <c r="O153" s="17"/>
      <c r="P153" s="17"/>
      <c r="Q153" s="17"/>
    </row>
    <row r="154" spans="1:17" s="29" customFormat="1" ht="18.75" customHeight="1">
      <c r="A154" s="191"/>
      <c r="B154" s="192"/>
      <c r="C154" s="488" t="s">
        <v>225</v>
      </c>
      <c r="D154" s="489"/>
      <c r="E154" s="223">
        <v>32</v>
      </c>
      <c r="F154" s="260"/>
      <c r="G154" s="349"/>
      <c r="H154" s="5"/>
      <c r="M154" s="17"/>
      <c r="N154" s="17"/>
      <c r="O154" s="17"/>
      <c r="P154" s="17"/>
      <c r="Q154" s="17"/>
    </row>
    <row r="155" spans="1:17" s="29" customFormat="1" ht="29.25" customHeight="1">
      <c r="A155" s="191"/>
      <c r="B155" s="192"/>
      <c r="C155" s="488" t="s">
        <v>657</v>
      </c>
      <c r="D155" s="489"/>
      <c r="E155" s="223">
        <v>32</v>
      </c>
      <c r="F155" s="260"/>
      <c r="G155" s="349"/>
      <c r="H155" s="5"/>
      <c r="M155" s="17"/>
      <c r="N155" s="17"/>
      <c r="O155" s="17"/>
      <c r="P155" s="17"/>
      <c r="Q155" s="17"/>
    </row>
    <row r="156" spans="1:17" s="29" customFormat="1" ht="19.5" customHeight="1">
      <c r="A156" s="191"/>
      <c r="B156" s="192"/>
      <c r="C156" s="492" t="s">
        <v>146</v>
      </c>
      <c r="D156" s="493"/>
      <c r="E156" s="224">
        <f>IF(E155&gt;E154,"Salah Isi",E155/E154)</f>
        <v>1</v>
      </c>
      <c r="F156" s="260"/>
      <c r="G156" s="349"/>
      <c r="H156" s="5"/>
      <c r="M156" s="17"/>
      <c r="N156" s="17"/>
      <c r="O156" s="17"/>
      <c r="P156" s="17"/>
      <c r="Q156" s="17"/>
    </row>
    <row r="157" spans="1:17" s="29" customFormat="1" ht="15.75" thickBot="1">
      <c r="A157" s="218"/>
      <c r="B157" s="82"/>
      <c r="C157" s="446" t="s">
        <v>140</v>
      </c>
      <c r="D157" s="447"/>
      <c r="E157" s="221">
        <f>IF(E156&gt;=80%,4,5*E156)</f>
        <v>4</v>
      </c>
      <c r="F157" s="264"/>
      <c r="G157" s="216"/>
      <c r="H157" s="5"/>
      <c r="M157" s="17"/>
      <c r="N157" s="17"/>
      <c r="O157" s="17"/>
      <c r="P157" s="17"/>
      <c r="Q157" s="17"/>
    </row>
    <row r="158" spans="1:17" s="29" customFormat="1" ht="15.75" thickBot="1">
      <c r="A158" s="218"/>
      <c r="B158" s="82"/>
      <c r="C158" s="82"/>
      <c r="D158" s="82"/>
      <c r="E158" s="229"/>
      <c r="F158" s="260"/>
      <c r="G158" s="216"/>
      <c r="H158" s="5"/>
      <c r="M158" s="17"/>
      <c r="N158" s="17"/>
      <c r="O158" s="17"/>
      <c r="P158" s="17"/>
      <c r="Q158" s="17"/>
    </row>
    <row r="159" spans="1:7" ht="16.5" customHeight="1" thickBot="1">
      <c r="A159" s="191">
        <v>36</v>
      </c>
      <c r="B159" s="192" t="s">
        <v>19</v>
      </c>
      <c r="C159" s="513" t="s">
        <v>386</v>
      </c>
      <c r="D159" s="514"/>
      <c r="E159" s="220">
        <v>13</v>
      </c>
      <c r="F159" s="260"/>
      <c r="G159" s="333" t="s">
        <v>502</v>
      </c>
    </row>
    <row r="160" spans="1:7" ht="15.75" thickBot="1">
      <c r="A160" s="218"/>
      <c r="B160" s="82"/>
      <c r="C160" s="249" t="s">
        <v>136</v>
      </c>
      <c r="D160" s="250"/>
      <c r="E160" s="221">
        <f>IF(E159&lt;=5,1,IF(E159&lt;11,(E159-3)/2,IF(E159&lt;=13,4,IF(E159&lt;21,(71-3*E159)/8,1))))</f>
        <v>4</v>
      </c>
      <c r="F160" s="260"/>
      <c r="G160" s="216"/>
    </row>
    <row r="161" spans="1:7" ht="15.75" thickBot="1">
      <c r="A161" s="218"/>
      <c r="B161" s="82"/>
      <c r="C161" s="78"/>
      <c r="D161" s="78"/>
      <c r="E161" s="163"/>
      <c r="F161" s="260"/>
      <c r="G161" s="216"/>
    </row>
    <row r="162" spans="1:7" ht="39" customHeight="1" thickBot="1">
      <c r="A162" s="191">
        <v>37</v>
      </c>
      <c r="B162" s="192" t="s">
        <v>20</v>
      </c>
      <c r="C162" s="442" t="s">
        <v>387</v>
      </c>
      <c r="D162" s="443"/>
      <c r="E162" s="251"/>
      <c r="F162" s="262"/>
      <c r="G162" s="334" t="s">
        <v>493</v>
      </c>
    </row>
    <row r="163" spans="1:7" ht="31.5" customHeight="1">
      <c r="A163" s="18"/>
      <c r="B163" s="176"/>
      <c r="C163" s="484" t="s">
        <v>319</v>
      </c>
      <c r="D163" s="485"/>
      <c r="E163" s="223">
        <v>7</v>
      </c>
      <c r="F163" s="32"/>
      <c r="G163" s="216"/>
    </row>
    <row r="164" spans="1:7" ht="15.75" thickBot="1">
      <c r="A164" s="18"/>
      <c r="B164" s="176"/>
      <c r="C164" s="541" t="s">
        <v>140</v>
      </c>
      <c r="D164" s="542"/>
      <c r="E164" s="226">
        <f>IF(E163&lt;0,"Salah Isi",IF(E163=0,4,IF(E163&lt;=3,3,IF(E163&lt;=7,2,IF(E163&lt;=11,1,0)))))</f>
        <v>2</v>
      </c>
      <c r="F164" s="32"/>
      <c r="G164" s="216"/>
    </row>
    <row r="165" spans="1:7" ht="15.75" thickBot="1">
      <c r="A165" s="18"/>
      <c r="B165" s="176"/>
      <c r="E165" s="10"/>
      <c r="F165" s="32"/>
      <c r="G165" s="216"/>
    </row>
    <row r="166" spans="1:17" s="29" customFormat="1" ht="27" customHeight="1" thickBot="1">
      <c r="A166" s="191">
        <v>38</v>
      </c>
      <c r="B166" s="192" t="s">
        <v>20</v>
      </c>
      <c r="C166" s="442" t="s">
        <v>388</v>
      </c>
      <c r="D166" s="443"/>
      <c r="E166" s="243"/>
      <c r="F166" s="32"/>
      <c r="G166" s="333" t="s">
        <v>481</v>
      </c>
      <c r="H166" s="5"/>
      <c r="M166" s="17"/>
      <c r="N166" s="17"/>
      <c r="O166" s="17"/>
      <c r="P166" s="17"/>
      <c r="Q166" s="17"/>
    </row>
    <row r="167" spans="1:7" ht="15">
      <c r="A167" s="218"/>
      <c r="B167" s="207"/>
      <c r="C167" s="490" t="s">
        <v>218</v>
      </c>
      <c r="D167" s="491"/>
      <c r="E167" s="223">
        <v>1</v>
      </c>
      <c r="F167" s="260"/>
      <c r="G167" s="216"/>
    </row>
    <row r="168" spans="1:7" ht="15">
      <c r="A168" s="218"/>
      <c r="B168" s="82"/>
      <c r="C168" s="486" t="s">
        <v>219</v>
      </c>
      <c r="D168" s="487"/>
      <c r="E168" s="223">
        <v>0.85</v>
      </c>
      <c r="F168" s="260"/>
      <c r="G168" s="216"/>
    </row>
    <row r="169" spans="1:7" ht="15">
      <c r="A169" s="218"/>
      <c r="B169" s="82"/>
      <c r="C169" s="498" t="s">
        <v>220</v>
      </c>
      <c r="D169" s="499"/>
      <c r="E169" s="224">
        <f>E168/E167</f>
        <v>0.85</v>
      </c>
      <c r="F169" s="260"/>
      <c r="G169" s="216"/>
    </row>
    <row r="170" spans="1:7" ht="15.75" thickBot="1">
      <c r="A170" s="218"/>
      <c r="B170" s="82"/>
      <c r="C170" s="496" t="s">
        <v>140</v>
      </c>
      <c r="D170" s="497"/>
      <c r="E170" s="221">
        <f>IF(E169&lt;=75%,0,IF(E169&lt;95%,(20*E169)-15,4))</f>
        <v>2</v>
      </c>
      <c r="F170" s="260"/>
      <c r="G170" s="216"/>
    </row>
    <row r="171" spans="1:7" ht="15.75" thickBot="1">
      <c r="A171" s="218"/>
      <c r="B171" s="82"/>
      <c r="C171" s="78"/>
      <c r="D171" s="78"/>
      <c r="E171" s="163"/>
      <c r="F171" s="260"/>
      <c r="G171" s="216"/>
    </row>
    <row r="172" spans="1:17" s="29" customFormat="1" ht="31.5" customHeight="1" thickBot="1">
      <c r="A172" s="191">
        <v>39</v>
      </c>
      <c r="B172" s="192" t="s">
        <v>21</v>
      </c>
      <c r="C172" s="442" t="s">
        <v>389</v>
      </c>
      <c r="D172" s="443"/>
      <c r="E172" s="222"/>
      <c r="F172" s="260"/>
      <c r="G172" s="333" t="s">
        <v>481</v>
      </c>
      <c r="H172" s="5"/>
      <c r="M172" s="17"/>
      <c r="N172" s="17"/>
      <c r="O172" s="17"/>
      <c r="P172" s="17"/>
      <c r="Q172" s="17"/>
    </row>
    <row r="173" spans="1:17" s="29" customFormat="1" ht="15">
      <c r="A173" s="218"/>
      <c r="B173" s="82"/>
      <c r="C173" s="217" t="s">
        <v>225</v>
      </c>
      <c r="D173" s="84"/>
      <c r="E173" s="223">
        <v>2</v>
      </c>
      <c r="F173" s="260"/>
      <c r="G173" s="216"/>
      <c r="H173" s="5"/>
      <c r="M173" s="17"/>
      <c r="N173" s="17"/>
      <c r="O173" s="17"/>
      <c r="P173" s="17"/>
      <c r="Q173" s="17"/>
    </row>
    <row r="174" spans="1:7" ht="15">
      <c r="A174" s="218"/>
      <c r="B174" s="82"/>
      <c r="C174" s="217" t="s">
        <v>221</v>
      </c>
      <c r="D174" s="84"/>
      <c r="E174" s="223">
        <v>1</v>
      </c>
      <c r="F174" s="260"/>
      <c r="G174" s="216"/>
    </row>
    <row r="175" spans="1:7" ht="15">
      <c r="A175" s="218"/>
      <c r="B175" s="82"/>
      <c r="C175" s="498" t="s">
        <v>222</v>
      </c>
      <c r="D175" s="499"/>
      <c r="E175" s="224">
        <f>(E174/(E174+E173))*100%</f>
        <v>0.3333333333333333</v>
      </c>
      <c r="F175" s="260"/>
      <c r="G175" s="216"/>
    </row>
    <row r="176" spans="1:7" ht="15.75" thickBot="1">
      <c r="A176" s="218"/>
      <c r="B176" s="82"/>
      <c r="C176" s="496" t="s">
        <v>140</v>
      </c>
      <c r="D176" s="497"/>
      <c r="E176" s="221">
        <f>IF(E174=0,4,IF(E175&lt;=10%,4,IF(E175&lt;50%,5-10*E175,0)))</f>
        <v>1.666666666666667</v>
      </c>
      <c r="F176" s="260"/>
      <c r="G176" s="216"/>
    </row>
    <row r="177" spans="1:7" ht="15.75" thickBot="1">
      <c r="A177" s="218"/>
      <c r="B177" s="82"/>
      <c r="C177" s="78"/>
      <c r="D177" s="78"/>
      <c r="E177" s="163"/>
      <c r="F177" s="260"/>
      <c r="G177" s="216"/>
    </row>
    <row r="178" spans="1:7" ht="27" customHeight="1" thickBot="1">
      <c r="A178" s="191">
        <v>40</v>
      </c>
      <c r="B178" s="192" t="s">
        <v>390</v>
      </c>
      <c r="C178" s="494" t="s">
        <v>22</v>
      </c>
      <c r="D178" s="495"/>
      <c r="E178" s="243"/>
      <c r="F178" s="32"/>
      <c r="G178" s="333" t="s">
        <v>493</v>
      </c>
    </row>
    <row r="179" spans="1:7" ht="29.25" customHeight="1">
      <c r="A179" s="18"/>
      <c r="B179" s="176"/>
      <c r="C179" s="484" t="s">
        <v>320</v>
      </c>
      <c r="D179" s="485"/>
      <c r="E179" s="223">
        <v>7</v>
      </c>
      <c r="F179" s="32"/>
      <c r="G179" s="216"/>
    </row>
    <row r="180" spans="1:7" ht="15.75" thickBot="1">
      <c r="A180" s="18"/>
      <c r="B180" s="176"/>
      <c r="C180" s="446" t="s">
        <v>140</v>
      </c>
      <c r="D180" s="447"/>
      <c r="E180" s="226">
        <f>IF(E174=0,4,IF(E179&lt;0,"Salah Isi",IF(E179=0,4,IF(E179&lt;=2,3,IF(E179&lt;=4,2,IF(E179&lt;=6,1,0))))))</f>
        <v>0</v>
      </c>
      <c r="F180" s="32"/>
      <c r="G180" s="216"/>
    </row>
    <row r="181" spans="1:7" ht="15.75" thickBot="1">
      <c r="A181" s="18"/>
      <c r="B181" s="176"/>
      <c r="E181" s="10"/>
      <c r="F181" s="32"/>
      <c r="G181" s="216"/>
    </row>
    <row r="182" spans="1:7" ht="27.75" customHeight="1" thickBot="1">
      <c r="A182" s="191">
        <v>41</v>
      </c>
      <c r="B182" s="192" t="s">
        <v>391</v>
      </c>
      <c r="C182" s="442" t="s">
        <v>503</v>
      </c>
      <c r="D182" s="443"/>
      <c r="E182" s="220">
        <v>0.8</v>
      </c>
      <c r="F182" s="260" t="str">
        <f>IF(E182&lt;0,"Salah",IF(E182&lt;=1,"Benar","Salah"))</f>
        <v>Benar</v>
      </c>
      <c r="G182" s="333" t="s">
        <v>480</v>
      </c>
    </row>
    <row r="183" spans="1:7" ht="15.75" thickBot="1">
      <c r="A183" s="218"/>
      <c r="B183" s="82"/>
      <c r="C183" s="496" t="s">
        <v>140</v>
      </c>
      <c r="D183" s="497"/>
      <c r="E183" s="221">
        <f>IF(E174=0,4,IF(E182&gt;1,"Salah Isi",IF(E182&lt;75%,0,IF(E182&lt;95%,20*E182-15,4))))</f>
        <v>1</v>
      </c>
      <c r="F183" s="260"/>
      <c r="G183" s="216"/>
    </row>
    <row r="184" spans="1:7" ht="15.75" thickBot="1">
      <c r="A184" s="218"/>
      <c r="B184" s="82"/>
      <c r="C184" s="78"/>
      <c r="D184" s="78"/>
      <c r="E184" s="163"/>
      <c r="F184" s="260"/>
      <c r="G184" s="216"/>
    </row>
    <row r="185" spans="1:7" ht="54" customHeight="1" thickBot="1">
      <c r="A185" s="191">
        <v>42</v>
      </c>
      <c r="B185" s="192" t="s">
        <v>23</v>
      </c>
      <c r="C185" s="442" t="s">
        <v>24</v>
      </c>
      <c r="D185" s="443"/>
      <c r="E185" s="234">
        <v>4</v>
      </c>
      <c r="F185" s="260"/>
      <c r="G185" s="333" t="s">
        <v>504</v>
      </c>
    </row>
    <row r="186" spans="1:7" ht="15.75" thickBot="1">
      <c r="A186" s="218"/>
      <c r="B186" s="82"/>
      <c r="C186" s="496" t="s">
        <v>140</v>
      </c>
      <c r="D186" s="497"/>
      <c r="E186" s="235">
        <f>IF(E185&gt;=12,4,1+E185/4)</f>
        <v>2</v>
      </c>
      <c r="F186" s="260"/>
      <c r="G186" s="216"/>
    </row>
    <row r="187" spans="1:7" ht="15.75" thickBot="1">
      <c r="A187" s="218"/>
      <c r="B187" s="82"/>
      <c r="C187" s="78"/>
      <c r="D187" s="78"/>
      <c r="E187" s="163"/>
      <c r="F187" s="260"/>
      <c r="G187" s="216"/>
    </row>
    <row r="188" spans="1:17" s="29" customFormat="1" ht="39.75" customHeight="1" thickBot="1">
      <c r="A188" s="191">
        <v>43</v>
      </c>
      <c r="B188" s="192" t="s">
        <v>25</v>
      </c>
      <c r="C188" s="442" t="s">
        <v>26</v>
      </c>
      <c r="D188" s="443"/>
      <c r="E188" s="222"/>
      <c r="F188" s="260"/>
      <c r="G188" s="333" t="s">
        <v>505</v>
      </c>
      <c r="H188" s="5"/>
      <c r="M188" s="17"/>
      <c r="N188" s="17"/>
      <c r="O188" s="17"/>
      <c r="P188" s="17"/>
      <c r="Q188" s="17"/>
    </row>
    <row r="189" spans="1:7" ht="30.75" customHeight="1">
      <c r="A189" s="218"/>
      <c r="B189" s="82"/>
      <c r="C189" s="478" t="s">
        <v>704</v>
      </c>
      <c r="D189" s="479"/>
      <c r="E189" s="223">
        <v>32</v>
      </c>
      <c r="F189" s="260" t="str">
        <f>IF(E189&lt;0,"Salah",IF(E189&lt;=100,"Benar","Salah"))</f>
        <v>Benar</v>
      </c>
      <c r="G189" s="216"/>
    </row>
    <row r="190" spans="1:7" ht="15">
      <c r="A190" s="218"/>
      <c r="B190" s="82"/>
      <c r="C190" s="252" t="s">
        <v>147</v>
      </c>
      <c r="D190" s="84" t="s">
        <v>282</v>
      </c>
      <c r="E190" s="223">
        <v>8</v>
      </c>
      <c r="F190" s="260"/>
      <c r="G190" s="216"/>
    </row>
    <row r="191" spans="1:7" ht="15">
      <c r="A191" s="218"/>
      <c r="B191" s="82"/>
      <c r="C191" s="252" t="s">
        <v>148</v>
      </c>
      <c r="D191" s="84" t="s">
        <v>283</v>
      </c>
      <c r="E191" s="223">
        <v>1</v>
      </c>
      <c r="F191" s="260"/>
      <c r="G191" s="216"/>
    </row>
    <row r="192" spans="1:7" ht="15">
      <c r="A192" s="218"/>
      <c r="B192" s="82"/>
      <c r="C192" s="252" t="s">
        <v>149</v>
      </c>
      <c r="D192" s="84" t="s">
        <v>286</v>
      </c>
      <c r="E192" s="224">
        <f>(0.75*E190+1.25*E191)</f>
        <v>7.25</v>
      </c>
      <c r="F192" s="260"/>
      <c r="G192" s="216"/>
    </row>
    <row r="193" spans="1:7" ht="15.75" thickBot="1">
      <c r="A193" s="218"/>
      <c r="B193" s="82"/>
      <c r="C193" s="253" t="s">
        <v>140</v>
      </c>
      <c r="D193" s="250"/>
      <c r="E193" s="221">
        <f>IF(E189&gt;90,4,IF(E192&gt;=4,4,E192))</f>
        <v>4</v>
      </c>
      <c r="F193" s="260"/>
      <c r="G193" s="216"/>
    </row>
    <row r="194" spans="1:7" ht="15.75" thickBot="1">
      <c r="A194" s="218"/>
      <c r="B194" s="82"/>
      <c r="C194" s="78"/>
      <c r="D194" s="78"/>
      <c r="E194" s="163"/>
      <c r="F194" s="260"/>
      <c r="G194" s="216"/>
    </row>
    <row r="195" spans="1:17" s="29" customFormat="1" ht="64.5" customHeight="1" thickBot="1">
      <c r="A195" s="191">
        <v>44</v>
      </c>
      <c r="B195" s="192" t="s">
        <v>27</v>
      </c>
      <c r="C195" s="442" t="s">
        <v>393</v>
      </c>
      <c r="D195" s="443"/>
      <c r="E195" s="222"/>
      <c r="F195" s="260"/>
      <c r="G195" s="333" t="s">
        <v>504</v>
      </c>
      <c r="H195" s="5"/>
      <c r="M195" s="17"/>
      <c r="N195" s="17"/>
      <c r="O195" s="17"/>
      <c r="P195" s="17"/>
      <c r="Q195" s="17"/>
    </row>
    <row r="196" spans="1:7" ht="15">
      <c r="A196" s="218"/>
      <c r="B196" s="82"/>
      <c r="C196" s="178" t="s">
        <v>76</v>
      </c>
      <c r="D196" s="179" t="s">
        <v>223</v>
      </c>
      <c r="E196" s="223">
        <v>20</v>
      </c>
      <c r="F196" s="260"/>
      <c r="G196" s="216"/>
    </row>
    <row r="197" spans="1:7" ht="15">
      <c r="A197" s="218"/>
      <c r="B197" s="82"/>
      <c r="C197" s="178" t="s">
        <v>78</v>
      </c>
      <c r="D197" s="179" t="s">
        <v>224</v>
      </c>
      <c r="E197" s="223">
        <v>4</v>
      </c>
      <c r="F197" s="260"/>
      <c r="G197" s="216"/>
    </row>
    <row r="198" spans="1:7" ht="15">
      <c r="A198" s="218" t="s">
        <v>207</v>
      </c>
      <c r="B198" s="82"/>
      <c r="C198" s="178" t="s">
        <v>163</v>
      </c>
      <c r="D198" s="179" t="s">
        <v>225</v>
      </c>
      <c r="E198" s="223">
        <v>32</v>
      </c>
      <c r="F198" s="260"/>
      <c r="G198" s="216"/>
    </row>
    <row r="199" spans="1:7" ht="15">
      <c r="A199" s="218"/>
      <c r="B199" s="82"/>
      <c r="C199" s="178" t="s">
        <v>150</v>
      </c>
      <c r="D199" s="179" t="s">
        <v>226</v>
      </c>
      <c r="E199" s="224">
        <f>((E196+(E197/4))/E198)</f>
        <v>0.65625</v>
      </c>
      <c r="F199" s="260"/>
      <c r="G199" s="216"/>
    </row>
    <row r="200" spans="1:7" ht="15.75" thickBot="1">
      <c r="A200" s="218"/>
      <c r="B200" s="82"/>
      <c r="C200" s="183" t="s">
        <v>140</v>
      </c>
      <c r="D200" s="184"/>
      <c r="E200" s="221">
        <f>IF(E199=0,0,IF(E199&lt;3,1+E199,4))</f>
        <v>1.65625</v>
      </c>
      <c r="F200" s="260"/>
      <c r="G200" s="216"/>
    </row>
    <row r="201" spans="1:7" ht="15.75" thickBot="1">
      <c r="A201" s="18"/>
      <c r="B201" s="176"/>
      <c r="E201" s="10"/>
      <c r="F201" s="32"/>
      <c r="G201" s="216"/>
    </row>
    <row r="202" spans="1:7" ht="42.75" customHeight="1" thickBot="1">
      <c r="A202" s="191">
        <v>45</v>
      </c>
      <c r="B202" s="192" t="s">
        <v>28</v>
      </c>
      <c r="C202" s="442" t="s">
        <v>394</v>
      </c>
      <c r="D202" s="443"/>
      <c r="E202" s="220">
        <v>0</v>
      </c>
      <c r="F202" s="32"/>
      <c r="G202" s="333" t="s">
        <v>506</v>
      </c>
    </row>
    <row r="203" spans="1:7" ht="15.75" thickBot="1">
      <c r="A203" s="18"/>
      <c r="B203" s="176"/>
      <c r="C203" s="444" t="s">
        <v>140</v>
      </c>
      <c r="D203" s="445"/>
      <c r="E203" s="221">
        <f>IF(E202&lt;0,"Salah Isi",IF(E202&lt;=4,E202,"Salah Isi"))</f>
        <v>0</v>
      </c>
      <c r="F203" s="32"/>
      <c r="G203" s="216"/>
    </row>
    <row r="204" spans="1:7" ht="15.75" thickBot="1">
      <c r="A204" s="18"/>
      <c r="B204" s="176"/>
      <c r="E204" s="10"/>
      <c r="F204" s="32"/>
      <c r="G204" s="216"/>
    </row>
    <row r="205" spans="1:7" ht="28.5" customHeight="1" thickBot="1">
      <c r="A205" s="191">
        <v>46</v>
      </c>
      <c r="B205" s="192" t="s">
        <v>29</v>
      </c>
      <c r="C205" s="442" t="s">
        <v>30</v>
      </c>
      <c r="D205" s="443"/>
      <c r="E205" s="236"/>
      <c r="F205" s="32"/>
      <c r="G205" s="333" t="s">
        <v>507</v>
      </c>
    </row>
    <row r="206" spans="1:17" s="29" customFormat="1" ht="41.25" customHeight="1">
      <c r="A206" s="191"/>
      <c r="B206" s="192"/>
      <c r="C206" s="488" t="s">
        <v>660</v>
      </c>
      <c r="D206" s="489"/>
      <c r="E206" s="223">
        <v>0.25</v>
      </c>
      <c r="F206" s="260" t="str">
        <f>IF(E206&lt;0,"Salah",IF(E206&lt;=1,"Benar","Salah"))</f>
        <v>Benar</v>
      </c>
      <c r="G206" s="349"/>
      <c r="H206" s="5"/>
      <c r="M206" s="17"/>
      <c r="N206" s="17"/>
      <c r="O206" s="17"/>
      <c r="P206" s="17"/>
      <c r="Q206" s="17"/>
    </row>
    <row r="207" spans="1:7" ht="15.75" thickBot="1">
      <c r="A207" s="18"/>
      <c r="B207" s="176"/>
      <c r="C207" s="444" t="s">
        <v>140</v>
      </c>
      <c r="D207" s="445"/>
      <c r="E207" s="221">
        <f>IF(E206=0,0,IF(E206&lt;50%,(1+6*E206),4))</f>
        <v>2.5</v>
      </c>
      <c r="F207" s="32"/>
      <c r="G207" s="216"/>
    </row>
    <row r="208" spans="1:7" ht="15.75" thickBot="1">
      <c r="A208" s="218"/>
      <c r="B208" s="82"/>
      <c r="C208" s="78"/>
      <c r="D208" s="78"/>
      <c r="E208" s="163"/>
      <c r="F208" s="260"/>
      <c r="G208" s="216"/>
    </row>
    <row r="209" spans="1:17" s="29" customFormat="1" ht="13.5" customHeight="1" thickBot="1">
      <c r="A209" s="191">
        <v>47</v>
      </c>
      <c r="B209" s="192" t="s">
        <v>395</v>
      </c>
      <c r="C209" s="442" t="s">
        <v>396</v>
      </c>
      <c r="D209" s="443"/>
      <c r="E209" s="222"/>
      <c r="F209" s="260"/>
      <c r="G209" s="333" t="s">
        <v>508</v>
      </c>
      <c r="H209" s="5"/>
      <c r="M209" s="17"/>
      <c r="N209" s="17"/>
      <c r="O209" s="17"/>
      <c r="P209" s="17"/>
      <c r="Q209" s="17"/>
    </row>
    <row r="210" spans="1:7" ht="15">
      <c r="A210" s="218"/>
      <c r="B210" s="82"/>
      <c r="C210" s="178" t="s">
        <v>151</v>
      </c>
      <c r="D210" s="179" t="s">
        <v>227</v>
      </c>
      <c r="E210" s="223">
        <v>0</v>
      </c>
      <c r="F210" s="260"/>
      <c r="G210" s="216"/>
    </row>
    <row r="211" spans="1:7" ht="15">
      <c r="A211" s="218"/>
      <c r="B211" s="82"/>
      <c r="C211" s="178" t="s">
        <v>152</v>
      </c>
      <c r="D211" s="179" t="s">
        <v>228</v>
      </c>
      <c r="E211" s="223">
        <v>0</v>
      </c>
      <c r="F211" s="260"/>
      <c r="G211" s="216"/>
    </row>
    <row r="212" spans="1:7" ht="15">
      <c r="A212" s="218"/>
      <c r="B212" s="82"/>
      <c r="C212" s="178" t="s">
        <v>153</v>
      </c>
      <c r="D212" s="179" t="s">
        <v>229</v>
      </c>
      <c r="E212" s="223">
        <v>3</v>
      </c>
      <c r="F212" s="260"/>
      <c r="G212" s="216"/>
    </row>
    <row r="213" spans="1:7" ht="15">
      <c r="A213" s="218"/>
      <c r="B213" s="82"/>
      <c r="C213" s="178" t="s">
        <v>154</v>
      </c>
      <c r="D213" s="179" t="s">
        <v>230</v>
      </c>
      <c r="E213" s="224">
        <f>(((4*E210)+(3*E211)+(2*E212))/4)</f>
        <v>1.5</v>
      </c>
      <c r="F213" s="260"/>
      <c r="G213" s="216"/>
    </row>
    <row r="214" spans="1:7" ht="15.75" thickBot="1">
      <c r="A214" s="218"/>
      <c r="B214" s="82"/>
      <c r="C214" s="183" t="s">
        <v>140</v>
      </c>
      <c r="D214" s="184"/>
      <c r="E214" s="221">
        <f>IF(E213&gt;=4,4,E213)</f>
        <v>1.5</v>
      </c>
      <c r="F214" s="260"/>
      <c r="G214" s="216"/>
    </row>
    <row r="215" spans="1:7" ht="15.75" thickBot="1">
      <c r="A215" s="18"/>
      <c r="B215" s="176"/>
      <c r="E215" s="10"/>
      <c r="F215" s="32"/>
      <c r="G215" s="216"/>
    </row>
    <row r="216" spans="1:17" s="29" customFormat="1" ht="40.5" customHeight="1" thickBot="1">
      <c r="A216" s="191">
        <v>48</v>
      </c>
      <c r="B216" s="192" t="s">
        <v>397</v>
      </c>
      <c r="C216" s="442" t="s">
        <v>398</v>
      </c>
      <c r="D216" s="443"/>
      <c r="E216" s="243"/>
      <c r="F216" s="32"/>
      <c r="G216" s="333" t="s">
        <v>509</v>
      </c>
      <c r="H216" s="5"/>
      <c r="M216" s="17"/>
      <c r="N216" s="17"/>
      <c r="O216" s="17"/>
      <c r="P216" s="17"/>
      <c r="Q216" s="17"/>
    </row>
    <row r="217" spans="1:7" ht="15">
      <c r="A217" s="18"/>
      <c r="B217" s="176"/>
      <c r="C217" s="255" t="s">
        <v>321</v>
      </c>
      <c r="D217" s="51"/>
      <c r="E217" s="223">
        <v>4</v>
      </c>
      <c r="F217" s="32"/>
      <c r="G217" s="216"/>
    </row>
    <row r="218" spans="1:7" ht="15.75" thickBot="1">
      <c r="A218" s="18"/>
      <c r="B218" s="176"/>
      <c r="C218" s="444" t="s">
        <v>140</v>
      </c>
      <c r="D218" s="445"/>
      <c r="E218" s="221">
        <f>IF(E217&lt;0,"Salah Isi",IF(E217&lt;1,1,IF(E217&lt;=4,E217,"Salah Isi")))</f>
        <v>4</v>
      </c>
      <c r="F218" s="32"/>
      <c r="G218" s="216"/>
    </row>
    <row r="219" spans="1:7" ht="15.75" thickBot="1">
      <c r="A219" s="18"/>
      <c r="B219" s="176"/>
      <c r="E219" s="10"/>
      <c r="F219" s="32"/>
      <c r="G219" s="216"/>
    </row>
    <row r="220" spans="1:17" s="29" customFormat="1" ht="26.25" customHeight="1" thickBot="1">
      <c r="A220" s="191">
        <v>49</v>
      </c>
      <c r="B220" s="192" t="s">
        <v>399</v>
      </c>
      <c r="C220" s="442" t="s">
        <v>400</v>
      </c>
      <c r="D220" s="443"/>
      <c r="E220" s="243"/>
      <c r="F220" s="32"/>
      <c r="G220" s="333" t="s">
        <v>510</v>
      </c>
      <c r="H220" s="5"/>
      <c r="M220" s="17"/>
      <c r="N220" s="17"/>
      <c r="O220" s="17"/>
      <c r="P220" s="17"/>
      <c r="Q220" s="17"/>
    </row>
    <row r="221" spans="1:7" ht="15">
      <c r="A221" s="218"/>
      <c r="B221" s="82"/>
      <c r="C221" s="178" t="s">
        <v>151</v>
      </c>
      <c r="D221" s="179" t="s">
        <v>231</v>
      </c>
      <c r="E221" s="223">
        <v>5</v>
      </c>
      <c r="F221" s="260"/>
      <c r="G221" s="216"/>
    </row>
    <row r="222" spans="1:7" ht="15">
      <c r="A222" s="218"/>
      <c r="B222" s="82"/>
      <c r="C222" s="178" t="s">
        <v>152</v>
      </c>
      <c r="D222" s="179" t="s">
        <v>232</v>
      </c>
      <c r="E222" s="223">
        <v>5</v>
      </c>
      <c r="F222" s="260"/>
      <c r="G222" s="216"/>
    </row>
    <row r="223" spans="1:7" ht="15">
      <c r="A223" s="218"/>
      <c r="B223" s="82"/>
      <c r="C223" s="178" t="s">
        <v>153</v>
      </c>
      <c r="D223" s="179" t="s">
        <v>233</v>
      </c>
      <c r="E223" s="223">
        <v>5</v>
      </c>
      <c r="F223" s="260"/>
      <c r="G223" s="216"/>
    </row>
    <row r="224" spans="1:7" ht="15">
      <c r="A224" s="218"/>
      <c r="B224" s="82"/>
      <c r="C224" s="256" t="s">
        <v>206</v>
      </c>
      <c r="D224" s="84" t="s">
        <v>234</v>
      </c>
      <c r="E224" s="223">
        <v>0</v>
      </c>
      <c r="F224" s="260"/>
      <c r="G224" s="216"/>
    </row>
    <row r="225" spans="1:7" ht="15">
      <c r="A225" s="218"/>
      <c r="B225" s="82"/>
      <c r="C225" s="178" t="s">
        <v>155</v>
      </c>
      <c r="D225" s="179"/>
      <c r="E225" s="224">
        <f>((4*E221)+(3*E222)+(2*E223)+E224)/4</f>
        <v>11.25</v>
      </c>
      <c r="F225" s="260"/>
      <c r="G225" s="216"/>
    </row>
    <row r="226" spans="1:7" ht="15.75" thickBot="1">
      <c r="A226" s="218"/>
      <c r="B226" s="82"/>
      <c r="C226" s="183" t="s">
        <v>140</v>
      </c>
      <c r="D226" s="184"/>
      <c r="E226" s="221">
        <f>IF(E225&gt;=4,4,E225)</f>
        <v>4</v>
      </c>
      <c r="F226" s="260"/>
      <c r="G226" s="216"/>
    </row>
    <row r="227" spans="1:7" ht="15.75" thickBot="1">
      <c r="A227" s="18"/>
      <c r="B227" s="176"/>
      <c r="E227" s="10"/>
      <c r="F227" s="32"/>
      <c r="G227" s="216"/>
    </row>
    <row r="228" spans="1:7" ht="39.75" customHeight="1" thickBot="1">
      <c r="A228" s="191">
        <v>50</v>
      </c>
      <c r="B228" s="192" t="s">
        <v>31</v>
      </c>
      <c r="C228" s="442" t="s">
        <v>401</v>
      </c>
      <c r="D228" s="443"/>
      <c r="E228" s="220">
        <v>0</v>
      </c>
      <c r="F228" s="32"/>
      <c r="G228" s="333" t="s">
        <v>511</v>
      </c>
    </row>
    <row r="229" spans="1:7" ht="15.75" thickBot="1">
      <c r="A229" s="18"/>
      <c r="B229" s="176"/>
      <c r="C229" s="444" t="s">
        <v>140</v>
      </c>
      <c r="D229" s="445"/>
      <c r="E229" s="221">
        <f>IF(E228&lt;0,"Salah Isi",IF(E228&lt;1,1,IF(E228&lt;=4,E228,"Salah Isi")))</f>
        <v>1</v>
      </c>
      <c r="F229" s="32"/>
      <c r="G229" s="216"/>
    </row>
    <row r="230" spans="1:7" ht="15.75" thickBot="1">
      <c r="A230" s="18"/>
      <c r="B230" s="176"/>
      <c r="E230" s="10"/>
      <c r="F230" s="32"/>
      <c r="G230" s="216"/>
    </row>
    <row r="231" spans="1:7" ht="28.5" customHeight="1" thickBot="1">
      <c r="A231" s="191">
        <v>51</v>
      </c>
      <c r="B231" s="192" t="s">
        <v>402</v>
      </c>
      <c r="C231" s="454" t="s">
        <v>403</v>
      </c>
      <c r="D231" s="455"/>
      <c r="E231" s="220">
        <v>2</v>
      </c>
      <c r="F231" s="32"/>
      <c r="G231" s="333" t="s">
        <v>512</v>
      </c>
    </row>
    <row r="232" spans="1:7" ht="15.75" thickBot="1">
      <c r="A232" s="18"/>
      <c r="B232" s="176"/>
      <c r="C232" s="444" t="s">
        <v>140</v>
      </c>
      <c r="D232" s="445"/>
      <c r="E232" s="221">
        <f>IF(E231&lt;0,"Salah Isi",IF(E231&lt;=4,E231,"Salah Isi"))</f>
        <v>2</v>
      </c>
      <c r="F232" s="32"/>
      <c r="G232" s="216"/>
    </row>
    <row r="233" spans="1:7" ht="15.75" thickBot="1">
      <c r="A233" s="18"/>
      <c r="B233" s="176"/>
      <c r="E233" s="10"/>
      <c r="F233" s="32"/>
      <c r="G233" s="216"/>
    </row>
    <row r="234" spans="1:7" ht="27" customHeight="1" thickBot="1">
      <c r="A234" s="191">
        <v>52</v>
      </c>
      <c r="B234" s="192" t="s">
        <v>404</v>
      </c>
      <c r="C234" s="454" t="s">
        <v>405</v>
      </c>
      <c r="D234" s="455"/>
      <c r="E234" s="220">
        <v>0</v>
      </c>
      <c r="F234" s="32"/>
      <c r="G234" s="333" t="s">
        <v>512</v>
      </c>
    </row>
    <row r="235" spans="1:7" ht="15.75" thickBot="1">
      <c r="A235" s="18"/>
      <c r="B235" s="176"/>
      <c r="C235" s="444" t="s">
        <v>140</v>
      </c>
      <c r="D235" s="445"/>
      <c r="E235" s="221">
        <f>IF(E234&lt;0,"Salah Isi",IF(E234&lt;1,1,IF(E234&lt;=4,E234,"Salah Isi")))</f>
        <v>1</v>
      </c>
      <c r="F235" s="32"/>
      <c r="G235" s="216"/>
    </row>
    <row r="236" spans="1:7" ht="15.75" thickBot="1">
      <c r="A236" s="18"/>
      <c r="B236" s="176"/>
      <c r="E236" s="10"/>
      <c r="F236" s="32"/>
      <c r="G236" s="216"/>
    </row>
    <row r="237" spans="1:7" ht="28.5" customHeight="1" thickBot="1">
      <c r="A237" s="191">
        <v>53</v>
      </c>
      <c r="B237" s="192" t="s">
        <v>406</v>
      </c>
      <c r="C237" s="454" t="s">
        <v>407</v>
      </c>
      <c r="D237" s="455"/>
      <c r="E237" s="220">
        <v>3</v>
      </c>
      <c r="F237" s="32"/>
      <c r="G237" s="333" t="s">
        <v>513</v>
      </c>
    </row>
    <row r="238" spans="1:7" ht="15.75" thickBot="1">
      <c r="A238" s="18"/>
      <c r="B238" s="176"/>
      <c r="C238" s="444" t="s">
        <v>140</v>
      </c>
      <c r="D238" s="445"/>
      <c r="E238" s="221">
        <f>IF(E237&lt;0,"Salah Isi",IF(E237&lt;=4,E237,"Salah Isi"))</f>
        <v>3</v>
      </c>
      <c r="F238" s="32"/>
      <c r="G238" s="216"/>
    </row>
    <row r="239" spans="1:17" s="29" customFormat="1" ht="15.75" thickBot="1">
      <c r="A239" s="18"/>
      <c r="B239" s="176"/>
      <c r="C239" s="193"/>
      <c r="D239" s="193"/>
      <c r="E239" s="229"/>
      <c r="F239" s="32"/>
      <c r="G239" s="216"/>
      <c r="H239" s="5"/>
      <c r="M239" s="17"/>
      <c r="N239" s="17"/>
      <c r="O239" s="17"/>
      <c r="P239" s="17"/>
      <c r="Q239" s="17"/>
    </row>
    <row r="240" spans="1:17" s="29" customFormat="1" ht="29.25" customHeight="1" thickBot="1">
      <c r="A240" s="191">
        <v>54</v>
      </c>
      <c r="B240" s="192" t="s">
        <v>408</v>
      </c>
      <c r="C240" s="454" t="s">
        <v>409</v>
      </c>
      <c r="D240" s="455"/>
      <c r="E240" s="236"/>
      <c r="F240" s="32"/>
      <c r="G240" s="333" t="s">
        <v>513</v>
      </c>
      <c r="H240" s="5"/>
      <c r="M240" s="17"/>
      <c r="N240" s="17"/>
      <c r="O240" s="17"/>
      <c r="P240" s="17"/>
      <c r="Q240" s="17"/>
    </row>
    <row r="241" spans="1:17" s="29" customFormat="1" ht="30.75" customHeight="1">
      <c r="A241" s="18"/>
      <c r="B241" s="176"/>
      <c r="C241" s="458" t="s">
        <v>514</v>
      </c>
      <c r="D241" s="459"/>
      <c r="E241" s="223">
        <v>3</v>
      </c>
      <c r="F241" s="32" t="str">
        <f>IF(E241=1,"Benar",IF(E241=2,"Benar",IF(E241=3,"Benar",IF(E241=4,"Benar","Salah"))))</f>
        <v>Benar</v>
      </c>
      <c r="G241" s="216"/>
      <c r="H241" s="5"/>
      <c r="M241" s="17"/>
      <c r="N241" s="17"/>
      <c r="O241" s="17"/>
      <c r="P241" s="17"/>
      <c r="Q241" s="17"/>
    </row>
    <row r="242" spans="1:17" s="29" customFormat="1" ht="18" customHeight="1">
      <c r="A242" s="18"/>
      <c r="B242" s="328"/>
      <c r="C242" s="355" t="s">
        <v>661</v>
      </c>
      <c r="D242" s="329"/>
      <c r="E242" s="223">
        <v>0</v>
      </c>
      <c r="F242" s="32" t="str">
        <f>IF(E242=0,"Benar",IF(E242=1,"Benar","Salah"))</f>
        <v>Benar</v>
      </c>
      <c r="G242" s="216"/>
      <c r="H242" s="5"/>
      <c r="M242" s="17"/>
      <c r="N242" s="17"/>
      <c r="O242" s="17"/>
      <c r="P242" s="17"/>
      <c r="Q242" s="17"/>
    </row>
    <row r="243" spans="1:17" s="29" customFormat="1" ht="15">
      <c r="A243" s="18"/>
      <c r="B243" s="176"/>
      <c r="C243" s="257" t="s">
        <v>515</v>
      </c>
      <c r="D243" s="180"/>
      <c r="E243" s="223">
        <v>52</v>
      </c>
      <c r="F243" s="32"/>
      <c r="G243" s="216"/>
      <c r="H243" s="5"/>
      <c r="M243" s="17"/>
      <c r="N243" s="17"/>
      <c r="O243" s="17"/>
      <c r="P243" s="17"/>
      <c r="Q243" s="17"/>
    </row>
    <row r="244" spans="1:17" s="29" customFormat="1" ht="15">
      <c r="A244" s="18"/>
      <c r="B244" s="176"/>
      <c r="C244" s="257" t="s">
        <v>662</v>
      </c>
      <c r="D244" s="180"/>
      <c r="E244" s="224">
        <f>IF(E243&lt;=6,0,IF(E243&lt;18,(E243-6)/3,4))</f>
        <v>4</v>
      </c>
      <c r="F244" s="32"/>
      <c r="G244" s="216"/>
      <c r="H244" s="5"/>
      <c r="M244" s="17"/>
      <c r="N244" s="17"/>
      <c r="O244" s="17"/>
      <c r="P244" s="17"/>
      <c r="Q244" s="17"/>
    </row>
    <row r="245" spans="1:17" s="29" customFormat="1" ht="15">
      <c r="A245" s="18"/>
      <c r="B245" s="328"/>
      <c r="C245" s="257" t="s">
        <v>663</v>
      </c>
      <c r="D245" s="180"/>
      <c r="E245" s="224">
        <f>IF(E243&lt;=11,0,IF(E243&lt;23,(E243-11)/3,4))</f>
        <v>4</v>
      </c>
      <c r="F245" s="32"/>
      <c r="G245" s="216"/>
      <c r="H245" s="5"/>
      <c r="M245" s="17"/>
      <c r="N245" s="17"/>
      <c r="O245" s="17"/>
      <c r="P245" s="17"/>
      <c r="Q245" s="17"/>
    </row>
    <row r="246" spans="1:17" s="29" customFormat="1" ht="15">
      <c r="A246" s="18"/>
      <c r="B246" s="176"/>
      <c r="C246" s="452" t="s">
        <v>667</v>
      </c>
      <c r="D246" s="453"/>
      <c r="E246" s="224">
        <f>IF(E243&lt;=16,0,IF(E243&lt;32,(E243-16)/4,4))</f>
        <v>4</v>
      </c>
      <c r="F246" s="32"/>
      <c r="G246" s="216"/>
      <c r="H246" s="5"/>
      <c r="M246" s="17"/>
      <c r="N246" s="17"/>
      <c r="O246" s="17"/>
      <c r="P246" s="17"/>
      <c r="Q246" s="17"/>
    </row>
    <row r="247" spans="1:17" s="29" customFormat="1" ht="15">
      <c r="A247" s="18"/>
      <c r="B247" s="328"/>
      <c r="C247" s="257" t="s">
        <v>664</v>
      </c>
      <c r="D247" s="180"/>
      <c r="E247" s="224">
        <f>IF(E243&lt;=30,0,IF(E243&lt;42,(E243-30)/3,4))</f>
        <v>4</v>
      </c>
      <c r="F247" s="32"/>
      <c r="G247" s="216"/>
      <c r="H247" s="5"/>
      <c r="M247" s="17"/>
      <c r="N247" s="17"/>
      <c r="O247" s="17"/>
      <c r="P247" s="17"/>
      <c r="Q247" s="17"/>
    </row>
    <row r="248" spans="1:17" s="29" customFormat="1" ht="15">
      <c r="A248" s="18"/>
      <c r="B248" s="176"/>
      <c r="C248" s="452" t="s">
        <v>668</v>
      </c>
      <c r="D248" s="453"/>
      <c r="E248" s="224">
        <f>IF(E243&lt;=21,0,IF(E243&lt;37,(E243-21)/4,4))</f>
        <v>4</v>
      </c>
      <c r="F248" s="32"/>
      <c r="G248" s="216"/>
      <c r="H248" s="5"/>
      <c r="M248" s="17"/>
      <c r="N248" s="17"/>
      <c r="O248" s="17"/>
      <c r="P248" s="17"/>
      <c r="Q248" s="17"/>
    </row>
    <row r="249" spans="1:17" s="29" customFormat="1" ht="15">
      <c r="A249" s="18"/>
      <c r="B249" s="328"/>
      <c r="C249" s="257" t="s">
        <v>665</v>
      </c>
      <c r="D249" s="180"/>
      <c r="E249" s="224">
        <f>IF(E243&lt;=36,0,IF(E243&lt;52,(E243-36)/4,4))</f>
        <v>4</v>
      </c>
      <c r="F249" s="32"/>
      <c r="G249" s="216"/>
      <c r="H249" s="5"/>
      <c r="M249" s="17"/>
      <c r="N249" s="17"/>
      <c r="O249" s="17"/>
      <c r="P249" s="17"/>
      <c r="Q249" s="17"/>
    </row>
    <row r="250" spans="1:17" s="29" customFormat="1" ht="15">
      <c r="A250" s="18"/>
      <c r="B250" s="176"/>
      <c r="C250" s="452" t="s">
        <v>669</v>
      </c>
      <c r="D250" s="453"/>
      <c r="E250" s="224">
        <f>IF(E243&lt;=26,0,IF(E243&lt;42,(E243-26)/4,4))</f>
        <v>4</v>
      </c>
      <c r="F250" s="32"/>
      <c r="G250" s="216"/>
      <c r="H250" s="5"/>
      <c r="M250" s="17"/>
      <c r="N250" s="17"/>
      <c r="O250" s="17"/>
      <c r="P250" s="17"/>
      <c r="Q250" s="17"/>
    </row>
    <row r="251" spans="1:17" s="29" customFormat="1" ht="15">
      <c r="A251" s="18"/>
      <c r="B251" s="328"/>
      <c r="C251" s="356" t="s">
        <v>666</v>
      </c>
      <c r="D251" s="259"/>
      <c r="E251" s="224">
        <f>IF(E243&lt;=41,0,IF(E243&lt;57,(E243-41)/4,4))</f>
        <v>2.75</v>
      </c>
      <c r="F251" s="32"/>
      <c r="G251" s="216"/>
      <c r="H251" s="5"/>
      <c r="M251" s="17"/>
      <c r="N251" s="17"/>
      <c r="O251" s="17"/>
      <c r="P251" s="17"/>
      <c r="Q251" s="17"/>
    </row>
    <row r="252" spans="1:17" s="29" customFormat="1" ht="15.75" thickBot="1">
      <c r="A252" s="18"/>
      <c r="B252" s="176"/>
      <c r="C252" s="460" t="s">
        <v>140</v>
      </c>
      <c r="D252" s="461"/>
      <c r="E252" s="221">
        <f>IF(E241=1,IF(E242=0,E244,E245),IF(E241=2,IF(E242=0,E246,E247),IF(E241=3,IF(E242=0,E248,E249),IF(E241=4,IF(E242=0,E250,E251),"Salah Isi"))))</f>
        <v>4</v>
      </c>
      <c r="F252" s="366"/>
      <c r="G252" s="357"/>
      <c r="H252" s="5"/>
      <c r="M252" s="17"/>
      <c r="N252" s="17"/>
      <c r="O252" s="17"/>
      <c r="P252" s="17"/>
      <c r="Q252" s="17"/>
    </row>
    <row r="253" spans="1:7" ht="15.75" thickBot="1">
      <c r="A253" s="18"/>
      <c r="B253" s="176"/>
      <c r="E253" s="10"/>
      <c r="F253" s="32"/>
      <c r="G253" s="216"/>
    </row>
    <row r="254" spans="1:17" s="29" customFormat="1" ht="42.75" customHeight="1" thickBot="1">
      <c r="A254" s="191">
        <v>55</v>
      </c>
      <c r="B254" s="192" t="s">
        <v>410</v>
      </c>
      <c r="C254" s="442" t="s">
        <v>411</v>
      </c>
      <c r="D254" s="443"/>
      <c r="E254" s="243"/>
      <c r="F254" s="32"/>
      <c r="G254" s="333" t="s">
        <v>513</v>
      </c>
      <c r="H254" s="5"/>
      <c r="M254" s="17"/>
      <c r="N254" s="17"/>
      <c r="O254" s="17"/>
      <c r="P254" s="17"/>
      <c r="Q254" s="17"/>
    </row>
    <row r="255" spans="1:7" ht="15">
      <c r="A255" s="218"/>
      <c r="B255" s="82"/>
      <c r="C255" s="252" t="s">
        <v>236</v>
      </c>
      <c r="D255" s="84"/>
      <c r="E255" s="223">
        <v>10</v>
      </c>
      <c r="F255" s="263"/>
      <c r="G255" s="216"/>
    </row>
    <row r="256" spans="1:7" ht="15">
      <c r="A256" s="218"/>
      <c r="B256" s="82"/>
      <c r="C256" s="256" t="s">
        <v>237</v>
      </c>
      <c r="D256" s="85"/>
      <c r="E256" s="223">
        <v>100</v>
      </c>
      <c r="F256" s="263"/>
      <c r="G256" s="216"/>
    </row>
    <row r="257" spans="1:7" ht="15">
      <c r="A257" s="218"/>
      <c r="B257" s="82"/>
      <c r="C257" s="90" t="s">
        <v>196</v>
      </c>
      <c r="D257" s="182" t="s">
        <v>235</v>
      </c>
      <c r="E257" s="224">
        <f>E255/E256</f>
        <v>0.1</v>
      </c>
      <c r="F257" s="260"/>
      <c r="G257" s="216"/>
    </row>
    <row r="258" spans="1:7" ht="15.75" thickBot="1">
      <c r="A258" s="218"/>
      <c r="B258" s="82"/>
      <c r="C258" s="462" t="s">
        <v>140</v>
      </c>
      <c r="D258" s="463"/>
      <c r="E258" s="221">
        <f>IF(E255&gt;E256,"Salah Isi",IF(E257&gt;=60%,4,(20*E257)/3))</f>
        <v>0.6666666666666666</v>
      </c>
      <c r="F258" s="260"/>
      <c r="G258" s="216"/>
    </row>
    <row r="259" spans="1:17" s="29" customFormat="1" ht="15.75" thickBot="1">
      <c r="A259" s="218"/>
      <c r="B259" s="82"/>
      <c r="C259" s="161"/>
      <c r="D259" s="161"/>
      <c r="E259" s="229"/>
      <c r="F259" s="260"/>
      <c r="G259" s="216"/>
      <c r="H259" s="5"/>
      <c r="M259" s="17"/>
      <c r="N259" s="17"/>
      <c r="O259" s="17"/>
      <c r="P259" s="17"/>
      <c r="Q259" s="17"/>
    </row>
    <row r="260" spans="1:7" ht="43.5" customHeight="1" thickBot="1">
      <c r="A260" s="191">
        <v>56</v>
      </c>
      <c r="B260" s="192" t="s">
        <v>412</v>
      </c>
      <c r="C260" s="442" t="s">
        <v>413</v>
      </c>
      <c r="D260" s="443"/>
      <c r="E260" s="222"/>
      <c r="F260" s="260"/>
      <c r="G260" s="333" t="s">
        <v>513</v>
      </c>
    </row>
    <row r="261" spans="1:7" ht="15">
      <c r="A261" s="218"/>
      <c r="B261" s="82"/>
      <c r="C261" s="88" t="s">
        <v>238</v>
      </c>
      <c r="D261" s="181"/>
      <c r="E261" s="223">
        <v>95</v>
      </c>
      <c r="F261" s="260" t="str">
        <f>IF(E261&gt;E262,"Salah","Benar")</f>
        <v>Benar</v>
      </c>
      <c r="G261" s="216"/>
    </row>
    <row r="262" spans="1:7" ht="15">
      <c r="A262" s="218"/>
      <c r="B262" s="82"/>
      <c r="C262" s="88" t="s">
        <v>239</v>
      </c>
      <c r="D262" s="181"/>
      <c r="E262" s="223">
        <v>100</v>
      </c>
      <c r="F262" s="260"/>
      <c r="G262" s="216"/>
    </row>
    <row r="263" spans="1:7" ht="15">
      <c r="A263" s="218"/>
      <c r="B263" s="82"/>
      <c r="C263" s="88" t="s">
        <v>240</v>
      </c>
      <c r="D263" s="181"/>
      <c r="E263" s="224">
        <f>E261/E262*100%</f>
        <v>0.95</v>
      </c>
      <c r="F263" s="260"/>
      <c r="G263" s="216"/>
    </row>
    <row r="264" spans="1:7" ht="15.75" thickBot="1">
      <c r="A264" s="218"/>
      <c r="B264" s="82"/>
      <c r="C264" s="482" t="s">
        <v>140</v>
      </c>
      <c r="D264" s="483"/>
      <c r="E264" s="221">
        <f>IF(E263&lt;=55%,0,IF(E263&lt;95%,10*(E263-55%),4))</f>
        <v>4</v>
      </c>
      <c r="F264" s="264"/>
      <c r="G264" s="216"/>
    </row>
    <row r="265" spans="1:7" ht="15.75" thickBot="1">
      <c r="A265" s="218"/>
      <c r="B265" s="82"/>
      <c r="C265" s="80"/>
      <c r="D265" s="80"/>
      <c r="E265" s="218"/>
      <c r="F265" s="260"/>
      <c r="G265" s="216"/>
    </row>
    <row r="266" spans="1:7" ht="27" customHeight="1" thickBot="1">
      <c r="A266" s="191">
        <v>57</v>
      </c>
      <c r="B266" s="192" t="s">
        <v>414</v>
      </c>
      <c r="C266" s="454" t="s">
        <v>705</v>
      </c>
      <c r="D266" s="455"/>
      <c r="E266" s="220">
        <v>0</v>
      </c>
      <c r="F266" s="32"/>
      <c r="G266" s="333" t="s">
        <v>522</v>
      </c>
    </row>
    <row r="267" spans="1:7" ht="15.75" thickBot="1">
      <c r="A267" s="18"/>
      <c r="B267" s="176"/>
      <c r="C267" s="444" t="s">
        <v>140</v>
      </c>
      <c r="D267" s="445"/>
      <c r="E267" s="221">
        <f>IF(E266&lt;0,"Salah Isi",IF(E266&lt;1,1,IF(E266&lt;=4,E266,"Salah Isi")))</f>
        <v>1</v>
      </c>
      <c r="F267" s="32"/>
      <c r="G267" s="216"/>
    </row>
    <row r="268" spans="1:7" ht="15.75" thickBot="1">
      <c r="A268" s="18"/>
      <c r="B268" s="176"/>
      <c r="E268" s="10"/>
      <c r="F268" s="32"/>
      <c r="G268" s="216"/>
    </row>
    <row r="269" spans="1:17" s="29" customFormat="1" ht="43.5" customHeight="1" thickBot="1">
      <c r="A269" s="191">
        <v>58</v>
      </c>
      <c r="B269" s="192" t="s">
        <v>416</v>
      </c>
      <c r="C269" s="454" t="s">
        <v>523</v>
      </c>
      <c r="D269" s="455"/>
      <c r="E269" s="243"/>
      <c r="F269" s="32"/>
      <c r="G269" s="333" t="s">
        <v>474</v>
      </c>
      <c r="H269" s="5"/>
      <c r="M269" s="17"/>
      <c r="N269" s="17"/>
      <c r="O269" s="17"/>
      <c r="P269" s="17"/>
      <c r="Q269" s="17"/>
    </row>
    <row r="270" spans="1:7" ht="15">
      <c r="A270" s="218"/>
      <c r="B270" s="82"/>
      <c r="C270" s="217" t="s">
        <v>241</v>
      </c>
      <c r="D270" s="84"/>
      <c r="E270" s="223">
        <v>12</v>
      </c>
      <c r="F270" s="260" t="str">
        <f>IF(E270&lt;3,"Salah",IF(E270&lt;=12,"Benar","Salah"))</f>
        <v>Benar</v>
      </c>
      <c r="G270" s="216"/>
    </row>
    <row r="271" spans="1:7" ht="15">
      <c r="A271" s="218"/>
      <c r="B271" s="82"/>
      <c r="C271" s="217" t="s">
        <v>143</v>
      </c>
      <c r="D271" s="84"/>
      <c r="E271" s="224">
        <f>E270/3</f>
        <v>4</v>
      </c>
      <c r="F271" s="260"/>
      <c r="G271" s="216"/>
    </row>
    <row r="272" spans="1:7" ht="15.75" thickBot="1">
      <c r="A272" s="218"/>
      <c r="B272" s="82"/>
      <c r="C272" s="86" t="s">
        <v>140</v>
      </c>
      <c r="D272" s="87"/>
      <c r="E272" s="221">
        <f>IF(E270&lt;3,"Salah Isi",IF(E270&lt;=12,E271,"Salah Isi"))</f>
        <v>4</v>
      </c>
      <c r="F272" s="260"/>
      <c r="G272" s="216"/>
    </row>
    <row r="273" spans="1:7" ht="15.75" thickBot="1">
      <c r="A273" s="18"/>
      <c r="B273" s="176"/>
      <c r="E273" s="10"/>
      <c r="F273" s="32"/>
      <c r="G273" s="216"/>
    </row>
    <row r="274" spans="1:17" s="29" customFormat="1" ht="42" customHeight="1" thickBot="1">
      <c r="A274" s="191">
        <v>59</v>
      </c>
      <c r="B274" s="192" t="s">
        <v>418</v>
      </c>
      <c r="C274" s="456" t="s">
        <v>419</v>
      </c>
      <c r="D274" s="457"/>
      <c r="E274" s="227"/>
      <c r="F274" s="32"/>
      <c r="G274" s="333" t="s">
        <v>474</v>
      </c>
      <c r="H274" s="5"/>
      <c r="M274" s="17"/>
      <c r="N274" s="17"/>
      <c r="O274" s="17"/>
      <c r="P274" s="17"/>
      <c r="Q274" s="17"/>
    </row>
    <row r="275" spans="1:17" s="29" customFormat="1" ht="32.25" customHeight="1">
      <c r="A275" s="18"/>
      <c r="B275" s="176"/>
      <c r="C275" s="539" t="s">
        <v>514</v>
      </c>
      <c r="D275" s="540"/>
      <c r="E275" s="223">
        <v>4</v>
      </c>
      <c r="F275" s="32" t="str">
        <f>IF(E275=1,"Benar",IF(E275=2,"Benar",IF(E275=3,"Benar",IF(E275=4,"Benar","Salah"))))</f>
        <v>Benar</v>
      </c>
      <c r="G275" s="216"/>
      <c r="H275" s="5"/>
      <c r="M275" s="17"/>
      <c r="N275" s="17"/>
      <c r="O275" s="17"/>
      <c r="P275" s="17"/>
      <c r="Q275" s="17"/>
    </row>
    <row r="276" spans="1:17" s="29" customFormat="1" ht="15.75" customHeight="1">
      <c r="A276" s="18"/>
      <c r="B276" s="354"/>
      <c r="C276" s="355" t="s">
        <v>661</v>
      </c>
      <c r="D276" s="353"/>
      <c r="E276" s="223">
        <v>0</v>
      </c>
      <c r="F276" s="32" t="str">
        <f>IF(E276=0,"Benar",IF(E276=1,"Benar","Salah"))</f>
        <v>Benar</v>
      </c>
      <c r="G276" s="216"/>
      <c r="H276" s="5"/>
      <c r="M276" s="17"/>
      <c r="N276" s="17"/>
      <c r="O276" s="17"/>
      <c r="P276" s="17"/>
      <c r="Q276" s="17"/>
    </row>
    <row r="277" spans="1:17" s="29" customFormat="1" ht="15">
      <c r="A277" s="18"/>
      <c r="B277" s="176"/>
      <c r="C277" s="257" t="s">
        <v>524</v>
      </c>
      <c r="D277" s="180"/>
      <c r="E277" s="223">
        <v>1700</v>
      </c>
      <c r="F277" s="32"/>
      <c r="G277" s="216"/>
      <c r="H277" s="5"/>
      <c r="M277" s="17"/>
      <c r="N277" s="17"/>
      <c r="O277" s="17"/>
      <c r="P277" s="17"/>
      <c r="Q277" s="17"/>
    </row>
    <row r="278" spans="1:17" s="29" customFormat="1" ht="15">
      <c r="A278" s="18"/>
      <c r="B278" s="176"/>
      <c r="C278" s="257" t="s">
        <v>662</v>
      </c>
      <c r="D278" s="180"/>
      <c r="E278" s="224">
        <f>IF(E277&lt;=496,0,IF(E277&lt;=832,(E277-496)/84,4))</f>
        <v>4</v>
      </c>
      <c r="F278" s="32"/>
      <c r="G278" s="216"/>
      <c r="H278" s="5"/>
      <c r="M278" s="17"/>
      <c r="N278" s="17"/>
      <c r="O278" s="17"/>
      <c r="P278" s="17"/>
      <c r="Q278" s="17"/>
    </row>
    <row r="279" spans="1:17" s="29" customFormat="1" ht="15">
      <c r="A279" s="18"/>
      <c r="B279" s="354"/>
      <c r="C279" s="257" t="s">
        <v>663</v>
      </c>
      <c r="D279" s="180"/>
      <c r="E279" s="224">
        <f>IF(E277&lt;=598,0,IF(E277&lt;=934,(E277-598)/84,4))</f>
        <v>4</v>
      </c>
      <c r="F279" s="32"/>
      <c r="G279" s="216"/>
      <c r="H279" s="5"/>
      <c r="M279" s="17"/>
      <c r="N279" s="17"/>
      <c r="O279" s="17"/>
      <c r="P279" s="17"/>
      <c r="Q279" s="17"/>
    </row>
    <row r="280" spans="1:17" s="29" customFormat="1" ht="15">
      <c r="A280" s="18"/>
      <c r="B280" s="176"/>
      <c r="C280" s="452" t="s">
        <v>667</v>
      </c>
      <c r="D280" s="453"/>
      <c r="E280" s="224">
        <f>IF(E277&lt;=1040,0,IF(E277&lt;=1376,(E277-1040)/84,4))</f>
        <v>4</v>
      </c>
      <c r="F280" s="32"/>
      <c r="G280" s="216"/>
      <c r="H280" s="5"/>
      <c r="M280" s="17"/>
      <c r="N280" s="17"/>
      <c r="O280" s="17"/>
      <c r="P280" s="17"/>
      <c r="Q280" s="17"/>
    </row>
    <row r="281" spans="1:17" s="29" customFormat="1" ht="15">
      <c r="A281" s="18"/>
      <c r="B281" s="354"/>
      <c r="C281" s="257" t="s">
        <v>664</v>
      </c>
      <c r="D281" s="180"/>
      <c r="E281" s="224">
        <f>IF(E277&lt;=1380,0,IF(E277&lt;=1716,(E277-1380)/84,4))</f>
        <v>3.8095238095238093</v>
      </c>
      <c r="F281" s="32"/>
      <c r="G281" s="216"/>
      <c r="H281" s="5"/>
      <c r="M281" s="17"/>
      <c r="N281" s="17"/>
      <c r="O281" s="17"/>
      <c r="P281" s="17"/>
      <c r="Q281" s="17"/>
    </row>
    <row r="282" spans="1:17" s="29" customFormat="1" ht="15">
      <c r="A282" s="18"/>
      <c r="B282" s="176"/>
      <c r="C282" s="452" t="s">
        <v>668</v>
      </c>
      <c r="D282" s="453"/>
      <c r="E282" s="224">
        <f>IF(E277&lt;=1194,0,IF(E277&lt;=1642,(E277-1194)/112,4))</f>
        <v>4</v>
      </c>
      <c r="F282" s="32"/>
      <c r="G282" s="216"/>
      <c r="H282" s="5"/>
      <c r="M282" s="17"/>
      <c r="N282" s="17"/>
      <c r="O282" s="17"/>
      <c r="P282" s="17"/>
      <c r="Q282" s="17"/>
    </row>
    <row r="283" spans="1:17" s="29" customFormat="1" ht="15">
      <c r="A283" s="18"/>
      <c r="B283" s="354"/>
      <c r="C283" s="257" t="s">
        <v>665</v>
      </c>
      <c r="D283" s="180"/>
      <c r="E283" s="224">
        <f>IF(E277&lt;=1636,0,IF(E277&lt;=2084,(E277-1636)/112,4))</f>
        <v>0.5714285714285714</v>
      </c>
      <c r="F283" s="32"/>
      <c r="G283" s="216"/>
      <c r="H283" s="5"/>
      <c r="M283" s="17"/>
      <c r="N283" s="17"/>
      <c r="O283" s="17"/>
      <c r="P283" s="17"/>
      <c r="Q283" s="17"/>
    </row>
    <row r="284" spans="1:17" s="29" customFormat="1" ht="15">
      <c r="A284" s="18"/>
      <c r="B284" s="176"/>
      <c r="C284" s="452" t="s">
        <v>669</v>
      </c>
      <c r="D284" s="453"/>
      <c r="E284" s="224">
        <f>IF(E277&lt;=1432,0,IF(E277&lt;=1880,(E277-1432)/112,4))</f>
        <v>2.392857142857143</v>
      </c>
      <c r="F284" s="32"/>
      <c r="G284" s="216"/>
      <c r="H284" s="5"/>
      <c r="M284" s="17"/>
      <c r="N284" s="17"/>
      <c r="O284" s="17"/>
      <c r="P284" s="17"/>
      <c r="Q284" s="17"/>
    </row>
    <row r="285" spans="1:17" s="29" customFormat="1" ht="15">
      <c r="A285" s="18"/>
      <c r="B285" s="354"/>
      <c r="C285" s="356" t="s">
        <v>666</v>
      </c>
      <c r="D285" s="259"/>
      <c r="E285" s="224">
        <f>IF(E277&lt;=1942,0,IF(E277&lt;=2390,(E277-1942)/112,4))</f>
        <v>0</v>
      </c>
      <c r="F285" s="32"/>
      <c r="G285" s="216"/>
      <c r="H285" s="5"/>
      <c r="M285" s="17"/>
      <c r="N285" s="17"/>
      <c r="O285" s="17"/>
      <c r="P285" s="17"/>
      <c r="Q285" s="17"/>
    </row>
    <row r="286" spans="1:17" s="29" customFormat="1" ht="15.75" thickBot="1">
      <c r="A286" s="18"/>
      <c r="B286" s="176"/>
      <c r="C286" s="460" t="s">
        <v>140</v>
      </c>
      <c r="D286" s="461"/>
      <c r="E286" s="221">
        <f>IF(E275=1,IF(E276=0,E278,E279),IF(E275=2,IF(E276=0,E280,E281),IF(E275=3,IF(E276=0,E282,E283),IF(E275=4,IF(E276=0,E284,E285),"Salah Isi"))))</f>
        <v>2.392857142857143</v>
      </c>
      <c r="F286" s="32"/>
      <c r="G286" s="216"/>
      <c r="H286" s="5"/>
      <c r="M286" s="17"/>
      <c r="N286" s="17"/>
      <c r="O286" s="17"/>
      <c r="P286" s="17"/>
      <c r="Q286" s="17"/>
    </row>
    <row r="287" spans="1:17" s="29" customFormat="1" ht="15.75" thickBot="1">
      <c r="A287" s="18"/>
      <c r="B287" s="176"/>
      <c r="C287" s="258"/>
      <c r="D287" s="259"/>
      <c r="E287" s="265"/>
      <c r="F287" s="32"/>
      <c r="G287" s="216"/>
      <c r="H287" s="5"/>
      <c r="M287" s="17"/>
      <c r="N287" s="17"/>
      <c r="O287" s="17"/>
      <c r="P287" s="17"/>
      <c r="Q287" s="17"/>
    </row>
    <row r="288" spans="1:7" ht="42" customHeight="1" thickBot="1">
      <c r="A288" s="191">
        <v>60</v>
      </c>
      <c r="B288" s="192" t="s">
        <v>420</v>
      </c>
      <c r="C288" s="543" t="s">
        <v>671</v>
      </c>
      <c r="D288" s="544"/>
      <c r="E288" s="220">
        <v>0</v>
      </c>
      <c r="F288" s="260" t="str">
        <f>IF(E288&lt;0,"Salah",IF(E288&lt;=1,"Benar","Salah"))</f>
        <v>Benar</v>
      </c>
      <c r="G288" s="333" t="s">
        <v>525</v>
      </c>
    </row>
    <row r="289" spans="1:7" ht="15.75" thickBot="1">
      <c r="A289" s="18"/>
      <c r="B289" s="176"/>
      <c r="C289" s="444" t="s">
        <v>140</v>
      </c>
      <c r="D289" s="445"/>
      <c r="E289" s="221">
        <f>IF(E288&lt;0,"Salah Isi",IF(E288&lt;=10%,0,IF(E288&lt;90%,(5*E288)-0.5,IF(E288&lt;=100%,4,"Salah Isi"))))</f>
        <v>0</v>
      </c>
      <c r="F289" s="32"/>
      <c r="G289" s="216"/>
    </row>
    <row r="290" spans="1:7" ht="15.75" thickBot="1">
      <c r="A290" s="18"/>
      <c r="B290" s="176"/>
      <c r="E290" s="10"/>
      <c r="F290" s="32"/>
      <c r="G290" s="216"/>
    </row>
    <row r="291" spans="1:17" s="29" customFormat="1" ht="29.25" customHeight="1" thickBot="1">
      <c r="A291" s="191">
        <v>61</v>
      </c>
      <c r="B291" s="192" t="s">
        <v>421</v>
      </c>
      <c r="C291" s="450" t="s">
        <v>422</v>
      </c>
      <c r="D291" s="451"/>
      <c r="E291" s="220">
        <v>0</v>
      </c>
      <c r="F291" s="32"/>
      <c r="G291" s="333" t="s">
        <v>526</v>
      </c>
      <c r="H291" s="5"/>
      <c r="M291" s="17"/>
      <c r="N291" s="17"/>
      <c r="O291" s="17"/>
      <c r="P291" s="17"/>
      <c r="Q291" s="17"/>
    </row>
    <row r="292" spans="1:17" s="29" customFormat="1" ht="15.75" thickBot="1">
      <c r="A292" s="18"/>
      <c r="B292" s="176"/>
      <c r="C292" s="444" t="s">
        <v>140</v>
      </c>
      <c r="D292" s="445"/>
      <c r="E292" s="221">
        <f>IF(E291&lt;0,"Salah Isi",IF(E291&lt;=4,E291,"Salah Isi"))</f>
        <v>0</v>
      </c>
      <c r="F292" s="32"/>
      <c r="G292" s="216"/>
      <c r="H292" s="5"/>
      <c r="M292" s="17"/>
      <c r="N292" s="17"/>
      <c r="O292" s="17"/>
      <c r="P292" s="17"/>
      <c r="Q292" s="17"/>
    </row>
    <row r="293" spans="1:17" s="29" customFormat="1" ht="15.75" thickBot="1">
      <c r="A293" s="18"/>
      <c r="B293" s="176"/>
      <c r="E293" s="10"/>
      <c r="F293" s="32"/>
      <c r="G293" s="216"/>
      <c r="H293" s="5"/>
      <c r="M293" s="17"/>
      <c r="N293" s="17"/>
      <c r="O293" s="17"/>
      <c r="P293" s="17"/>
      <c r="Q293" s="17"/>
    </row>
    <row r="294" spans="1:17" s="29" customFormat="1" ht="28.5" customHeight="1" thickBot="1">
      <c r="A294" s="191">
        <v>62</v>
      </c>
      <c r="B294" s="192" t="s">
        <v>32</v>
      </c>
      <c r="C294" s="442" t="s">
        <v>520</v>
      </c>
      <c r="D294" s="443"/>
      <c r="E294" s="220">
        <v>0</v>
      </c>
      <c r="F294" s="32"/>
      <c r="G294" s="333" t="s">
        <v>527</v>
      </c>
      <c r="H294" s="5"/>
      <c r="M294" s="17"/>
      <c r="N294" s="17"/>
      <c r="O294" s="17"/>
      <c r="P294" s="17"/>
      <c r="Q294" s="17"/>
    </row>
    <row r="295" spans="1:17" s="29" customFormat="1" ht="15.75" thickBot="1">
      <c r="A295" s="18"/>
      <c r="B295" s="176"/>
      <c r="C295" s="444" t="s">
        <v>140</v>
      </c>
      <c r="D295" s="445"/>
      <c r="E295" s="221">
        <f>IF(E294&lt;0,"Salah Isi",IF(E294=1,"Tidak ada skor 1",IF(E294&lt;=4,E294,"Salah Isi")))</f>
        <v>0</v>
      </c>
      <c r="F295" s="32"/>
      <c r="G295" s="216"/>
      <c r="H295" s="5"/>
      <c r="M295" s="17"/>
      <c r="N295" s="17"/>
      <c r="O295" s="17"/>
      <c r="P295" s="17"/>
      <c r="Q295" s="17"/>
    </row>
    <row r="296" spans="1:17" s="29" customFormat="1" ht="15.75" thickBot="1">
      <c r="A296" s="18"/>
      <c r="B296" s="176"/>
      <c r="E296" s="10"/>
      <c r="F296" s="32"/>
      <c r="G296" s="216"/>
      <c r="H296" s="5"/>
      <c r="M296" s="17"/>
      <c r="N296" s="17"/>
      <c r="O296" s="17"/>
      <c r="P296" s="17"/>
      <c r="Q296" s="17"/>
    </row>
    <row r="297" spans="1:17" s="29" customFormat="1" ht="30.75" customHeight="1" thickBot="1">
      <c r="A297" s="191">
        <v>63</v>
      </c>
      <c r="B297" s="192" t="s">
        <v>423</v>
      </c>
      <c r="C297" s="442" t="s">
        <v>521</v>
      </c>
      <c r="D297" s="443"/>
      <c r="E297" s="243"/>
      <c r="F297" s="32"/>
      <c r="G297" s="333" t="s">
        <v>479</v>
      </c>
      <c r="H297" s="5"/>
      <c r="M297" s="17"/>
      <c r="N297" s="17"/>
      <c r="O297" s="17"/>
      <c r="P297" s="17"/>
      <c r="Q297" s="17"/>
    </row>
    <row r="298" spans="1:7" ht="15">
      <c r="A298" s="218"/>
      <c r="B298" s="82"/>
      <c r="C298" s="88" t="s">
        <v>243</v>
      </c>
      <c r="D298" s="181"/>
      <c r="E298" s="223">
        <v>1</v>
      </c>
      <c r="F298" s="260"/>
      <c r="G298" s="216"/>
    </row>
    <row r="299" spans="1:7" ht="15">
      <c r="A299" s="218"/>
      <c r="B299" s="82"/>
      <c r="C299" s="88" t="s">
        <v>244</v>
      </c>
      <c r="D299" s="181"/>
      <c r="E299" s="223">
        <v>30</v>
      </c>
      <c r="F299" s="260"/>
      <c r="G299" s="216"/>
    </row>
    <row r="300" spans="1:7" ht="15">
      <c r="A300" s="218"/>
      <c r="B300" s="82"/>
      <c r="C300" s="88" t="s">
        <v>242</v>
      </c>
      <c r="D300" s="181"/>
      <c r="E300" s="224">
        <f>E299/E298</f>
        <v>30</v>
      </c>
      <c r="F300" s="260"/>
      <c r="G300" s="216"/>
    </row>
    <row r="301" spans="1:7" ht="15.75" thickBot="1">
      <c r="A301" s="218"/>
      <c r="B301" s="82"/>
      <c r="C301" s="482" t="s">
        <v>140</v>
      </c>
      <c r="D301" s="483"/>
      <c r="E301" s="221">
        <f>IF(E300=0,0,IF(E300&lt;=20,4,IF(E300&lt;60,(60-E300)/10,0)))</f>
        <v>3</v>
      </c>
      <c r="F301" s="260"/>
      <c r="G301" s="216"/>
    </row>
    <row r="302" spans="1:7" ht="15.75" thickBot="1">
      <c r="A302" s="18"/>
      <c r="B302" s="176"/>
      <c r="E302" s="10"/>
      <c r="F302" s="32"/>
      <c r="G302" s="216"/>
    </row>
    <row r="303" spans="1:7" ht="29.25" customHeight="1" thickBot="1">
      <c r="A303" s="191">
        <v>64</v>
      </c>
      <c r="B303" s="192" t="s">
        <v>424</v>
      </c>
      <c r="C303" s="442" t="s">
        <v>425</v>
      </c>
      <c r="D303" s="443"/>
      <c r="E303" s="220">
        <v>2</v>
      </c>
      <c r="F303" s="260"/>
      <c r="G303" s="333" t="s">
        <v>528</v>
      </c>
    </row>
    <row r="304" spans="1:7" ht="15.75" thickBot="1">
      <c r="A304" s="218"/>
      <c r="B304" s="82"/>
      <c r="C304" s="482" t="s">
        <v>140</v>
      </c>
      <c r="D304" s="483"/>
      <c r="E304" s="221">
        <f>IF(E303&lt;0,"Salah Isi",IF(E303=0,0,IF(E303&lt;3,(E303+1),4)))</f>
        <v>3</v>
      </c>
      <c r="F304" s="260"/>
      <c r="G304" s="216"/>
    </row>
    <row r="305" spans="1:7" ht="15.75" thickBot="1">
      <c r="A305" s="218"/>
      <c r="B305" s="82"/>
      <c r="C305" s="78"/>
      <c r="D305" s="78"/>
      <c r="E305" s="163"/>
      <c r="F305" s="260"/>
      <c r="G305" s="216"/>
    </row>
    <row r="306" spans="1:17" s="29" customFormat="1" ht="41.25" customHeight="1" thickBot="1">
      <c r="A306" s="191">
        <v>65</v>
      </c>
      <c r="B306" s="192" t="s">
        <v>426</v>
      </c>
      <c r="C306" s="442" t="s">
        <v>427</v>
      </c>
      <c r="D306" s="443"/>
      <c r="E306" s="220">
        <v>0</v>
      </c>
      <c r="F306" s="260"/>
      <c r="G306" s="333" t="s">
        <v>474</v>
      </c>
      <c r="H306" s="5"/>
      <c r="M306" s="17"/>
      <c r="N306" s="17"/>
      <c r="O306" s="17"/>
      <c r="P306" s="17"/>
      <c r="Q306" s="17"/>
    </row>
    <row r="307" spans="1:17" s="29" customFormat="1" ht="15.75" thickBot="1">
      <c r="A307" s="218"/>
      <c r="B307" s="82"/>
      <c r="C307" s="482" t="s">
        <v>140</v>
      </c>
      <c r="D307" s="483"/>
      <c r="E307" s="221">
        <f>IF(E306&lt;0,"Salah Isi",IF(E306&lt;=4,E306,"Salah Isi"))</f>
        <v>0</v>
      </c>
      <c r="F307" s="260"/>
      <c r="G307" s="216"/>
      <c r="H307" s="5"/>
      <c r="M307" s="17"/>
      <c r="N307" s="17"/>
      <c r="O307" s="17"/>
      <c r="P307" s="17"/>
      <c r="Q307" s="17"/>
    </row>
    <row r="308" spans="1:17" s="29" customFormat="1" ht="15.75" thickBot="1">
      <c r="A308" s="218"/>
      <c r="B308" s="82"/>
      <c r="C308" s="78"/>
      <c r="D308" s="78"/>
      <c r="E308" s="163"/>
      <c r="F308" s="260"/>
      <c r="G308" s="216"/>
      <c r="H308" s="5"/>
      <c r="M308" s="17"/>
      <c r="N308" s="17"/>
      <c r="O308" s="17"/>
      <c r="P308" s="17"/>
      <c r="Q308" s="17"/>
    </row>
    <row r="309" spans="1:7" ht="15" customHeight="1" thickBot="1">
      <c r="A309" s="191">
        <v>66</v>
      </c>
      <c r="B309" s="192" t="s">
        <v>428</v>
      </c>
      <c r="C309" s="442" t="s">
        <v>429</v>
      </c>
      <c r="D309" s="443"/>
      <c r="E309" s="220">
        <v>0</v>
      </c>
      <c r="F309" s="32"/>
      <c r="G309" s="333" t="s">
        <v>473</v>
      </c>
    </row>
    <row r="310" spans="1:7" ht="15.75" thickBot="1">
      <c r="A310" s="18"/>
      <c r="B310" s="176"/>
      <c r="C310" s="446" t="s">
        <v>140</v>
      </c>
      <c r="D310" s="447"/>
      <c r="E310" s="221">
        <f>IF(E309&lt;0,"Salah Isi",IF(E309&lt;=4,E309,"Salah Isi"))</f>
        <v>0</v>
      </c>
      <c r="F310" s="32"/>
      <c r="G310" s="216"/>
    </row>
    <row r="311" spans="1:7" ht="15.75" thickBot="1">
      <c r="A311" s="18"/>
      <c r="B311" s="176"/>
      <c r="E311" s="10"/>
      <c r="F311" s="32"/>
      <c r="G311" s="216"/>
    </row>
    <row r="312" spans="1:17" s="29" customFormat="1" ht="30" customHeight="1" thickBot="1">
      <c r="A312" s="191">
        <v>67</v>
      </c>
      <c r="B312" s="192" t="s">
        <v>430</v>
      </c>
      <c r="C312" s="454" t="s">
        <v>706</v>
      </c>
      <c r="D312" s="455"/>
      <c r="E312" s="220">
        <v>0</v>
      </c>
      <c r="F312" s="32"/>
      <c r="G312" s="333" t="s">
        <v>529</v>
      </c>
      <c r="H312" s="5"/>
      <c r="M312" s="17"/>
      <c r="N312" s="17"/>
      <c r="O312" s="17"/>
      <c r="P312" s="17"/>
      <c r="Q312" s="17"/>
    </row>
    <row r="313" spans="1:17" s="29" customFormat="1" ht="15.75" thickBot="1">
      <c r="A313" s="18"/>
      <c r="B313" s="176"/>
      <c r="C313" s="446" t="s">
        <v>140</v>
      </c>
      <c r="D313" s="447"/>
      <c r="E313" s="221">
        <f>IF(E312&lt;0,"Salah Isi",IF(E312&lt;1,1,IF(E312&lt;=4,E312,"Salah Isi")))</f>
        <v>1</v>
      </c>
      <c r="F313" s="32"/>
      <c r="G313" s="216"/>
      <c r="H313" s="5"/>
      <c r="M313" s="17"/>
      <c r="N313" s="17"/>
      <c r="O313" s="17"/>
      <c r="P313" s="17"/>
      <c r="Q313" s="17"/>
    </row>
    <row r="314" spans="1:17" s="29" customFormat="1" ht="15.75" thickBot="1">
      <c r="A314" s="18"/>
      <c r="B314" s="176"/>
      <c r="E314" s="10"/>
      <c r="F314" s="32"/>
      <c r="G314" s="216"/>
      <c r="H314" s="5"/>
      <c r="M314" s="17"/>
      <c r="N314" s="17"/>
      <c r="O314" s="17"/>
      <c r="P314" s="17"/>
      <c r="Q314" s="17"/>
    </row>
    <row r="315" spans="1:7" ht="29.25" customHeight="1" thickBot="1">
      <c r="A315" s="191">
        <v>68</v>
      </c>
      <c r="B315" s="192" t="s">
        <v>432</v>
      </c>
      <c r="C315" s="442" t="s">
        <v>433</v>
      </c>
      <c r="D315" s="443"/>
      <c r="E315" s="220">
        <v>0</v>
      </c>
      <c r="F315" s="260"/>
      <c r="G315" s="333" t="s">
        <v>530</v>
      </c>
    </row>
    <row r="316" spans="1:7" ht="15.75" thickBot="1">
      <c r="A316" s="18"/>
      <c r="B316" s="176"/>
      <c r="C316" s="444" t="s">
        <v>140</v>
      </c>
      <c r="D316" s="445"/>
      <c r="E316" s="221">
        <f>IF(E315&lt;0,"Salah Isi",IF(E315=1,"Tidak ada skor 1",IF(E315&lt;=4,E315,"Salah Isi")))</f>
        <v>0</v>
      </c>
      <c r="F316" s="32"/>
      <c r="G316" s="216"/>
    </row>
    <row r="317" spans="1:7" ht="15.75" thickBot="1">
      <c r="A317" s="18"/>
      <c r="B317" s="176"/>
      <c r="E317" s="10"/>
      <c r="F317" s="32"/>
      <c r="G317" s="216"/>
    </row>
    <row r="318" spans="1:17" s="29" customFormat="1" ht="28.5" customHeight="1" thickBot="1">
      <c r="A318" s="191">
        <v>69</v>
      </c>
      <c r="B318" s="192" t="s">
        <v>434</v>
      </c>
      <c r="C318" s="442" t="s">
        <v>435</v>
      </c>
      <c r="D318" s="443"/>
      <c r="E318" s="243"/>
      <c r="F318" s="32"/>
      <c r="G318" s="333" t="s">
        <v>479</v>
      </c>
      <c r="H318" s="5"/>
      <c r="M318" s="17"/>
      <c r="N318" s="17"/>
      <c r="O318" s="17"/>
      <c r="P318" s="17"/>
      <c r="Q318" s="17"/>
    </row>
    <row r="319" spans="1:7" ht="15">
      <c r="A319" s="218"/>
      <c r="B319" s="82"/>
      <c r="C319" s="217" t="s">
        <v>245</v>
      </c>
      <c r="D319" s="84"/>
      <c r="E319" s="223">
        <v>1</v>
      </c>
      <c r="F319" s="260"/>
      <c r="G319" s="216"/>
    </row>
    <row r="320" spans="1:7" ht="15">
      <c r="A320" s="218"/>
      <c r="B320" s="82"/>
      <c r="C320" s="217" t="s">
        <v>246</v>
      </c>
      <c r="D320" s="84"/>
      <c r="E320" s="223">
        <v>10</v>
      </c>
      <c r="F320" s="260"/>
      <c r="G320" s="216"/>
    </row>
    <row r="321" spans="1:7" ht="15">
      <c r="A321" s="218"/>
      <c r="B321" s="82"/>
      <c r="C321" s="217" t="s">
        <v>242</v>
      </c>
      <c r="D321" s="84"/>
      <c r="E321" s="224">
        <f>E320/E319</f>
        <v>10</v>
      </c>
      <c r="F321" s="260"/>
      <c r="G321" s="216"/>
    </row>
    <row r="322" spans="1:7" ht="15.75" thickBot="1">
      <c r="A322" s="218"/>
      <c r="B322" s="82"/>
      <c r="C322" s="482" t="s">
        <v>140</v>
      </c>
      <c r="D322" s="483"/>
      <c r="E322" s="221">
        <f>IF(E321=0,0,IF(E321&lt;=4,4,IF(E321&lt;20,5-(E321/4),0)))</f>
        <v>2.5</v>
      </c>
      <c r="F322" s="260"/>
      <c r="G322" s="216"/>
    </row>
    <row r="323" spans="1:7" ht="15.75" thickBot="1">
      <c r="A323" s="218"/>
      <c r="B323" s="82"/>
      <c r="C323" s="78"/>
      <c r="D323" s="78"/>
      <c r="E323" s="163"/>
      <c r="F323" s="260"/>
      <c r="G323" s="216"/>
    </row>
    <row r="324" spans="1:7" ht="29.25" customHeight="1" thickBot="1">
      <c r="A324" s="191">
        <v>70</v>
      </c>
      <c r="B324" s="192" t="s">
        <v>436</v>
      </c>
      <c r="C324" s="442" t="s">
        <v>531</v>
      </c>
      <c r="D324" s="443"/>
      <c r="E324" s="220">
        <v>10</v>
      </c>
      <c r="F324" s="260"/>
      <c r="G324" s="333" t="s">
        <v>479</v>
      </c>
    </row>
    <row r="325" spans="1:7" ht="15.75" thickBot="1">
      <c r="A325" s="218"/>
      <c r="B325" s="82"/>
      <c r="C325" s="482" t="s">
        <v>140</v>
      </c>
      <c r="D325" s="483"/>
      <c r="E325" s="221">
        <f>IF(E324&gt;=8,4,E324/2)</f>
        <v>4</v>
      </c>
      <c r="F325" s="260"/>
      <c r="G325" s="216"/>
    </row>
    <row r="326" spans="1:7" ht="15.75" thickBot="1">
      <c r="A326" s="18"/>
      <c r="B326" s="176"/>
      <c r="E326" s="10"/>
      <c r="F326" s="32"/>
      <c r="G326" s="216"/>
    </row>
    <row r="327" spans="1:7" ht="54" customHeight="1" thickBot="1">
      <c r="A327" s="191">
        <v>71</v>
      </c>
      <c r="B327" s="192" t="s">
        <v>437</v>
      </c>
      <c r="C327" s="442" t="s">
        <v>707</v>
      </c>
      <c r="D327" s="443"/>
      <c r="E327" s="220">
        <v>0</v>
      </c>
      <c r="F327" s="260" t="str">
        <f>IF(E327&lt;0,"Salah",IF(E327&lt;=1,"Benar","Salah"))</f>
        <v>Benar</v>
      </c>
      <c r="G327" s="333" t="s">
        <v>532</v>
      </c>
    </row>
    <row r="328" spans="1:7" ht="15.75" thickBot="1">
      <c r="A328" s="18"/>
      <c r="B328" s="176"/>
      <c r="C328" s="444" t="s">
        <v>140</v>
      </c>
      <c r="D328" s="445"/>
      <c r="E328" s="221">
        <f>IF(E327&lt;0,"Salah Isi",IF(E327=0,0,IF(E327&lt;50%,2*E327+1,IF(E327&lt;=90%,5*E327-0.5,IF(E327&lt;=1,4,"Salah Isi")))))</f>
        <v>0</v>
      </c>
      <c r="F328" s="32"/>
      <c r="G328" s="216"/>
    </row>
    <row r="329" spans="1:7" ht="15.75" thickBot="1">
      <c r="A329" s="18"/>
      <c r="B329" s="176"/>
      <c r="E329" s="10"/>
      <c r="F329" s="32"/>
      <c r="G329" s="216"/>
    </row>
    <row r="330" spans="1:7" ht="28.5" customHeight="1" thickBot="1">
      <c r="A330" s="191">
        <v>72</v>
      </c>
      <c r="B330" s="192" t="s">
        <v>672</v>
      </c>
      <c r="C330" s="454" t="s">
        <v>438</v>
      </c>
      <c r="D330" s="455"/>
      <c r="E330" s="220">
        <v>0</v>
      </c>
      <c r="F330" s="32"/>
      <c r="G330" s="333" t="s">
        <v>511</v>
      </c>
    </row>
    <row r="331" spans="1:7" ht="15.75" thickBot="1">
      <c r="A331" s="18"/>
      <c r="B331" s="176"/>
      <c r="C331" s="444" t="s">
        <v>140</v>
      </c>
      <c r="D331" s="445"/>
      <c r="E331" s="221">
        <f>IF(E330&lt;0,"Salah Isi",IF(E330&lt;=4,E330,"Salah Isi"))</f>
        <v>0</v>
      </c>
      <c r="F331" s="32"/>
      <c r="G331" s="216"/>
    </row>
    <row r="332" spans="1:7" ht="15.75" thickBot="1">
      <c r="A332" s="218"/>
      <c r="B332" s="82"/>
      <c r="C332" s="78"/>
      <c r="D332" s="78"/>
      <c r="E332" s="163"/>
      <c r="F332" s="260"/>
      <c r="G332" s="216"/>
    </row>
    <row r="333" spans="1:7" ht="40.5" customHeight="1" thickBot="1">
      <c r="A333" s="191">
        <v>73</v>
      </c>
      <c r="B333" s="192" t="s">
        <v>33</v>
      </c>
      <c r="C333" s="442" t="s">
        <v>34</v>
      </c>
      <c r="D333" s="443"/>
      <c r="E333" s="220">
        <v>0</v>
      </c>
      <c r="F333" s="32"/>
      <c r="G333" s="333" t="s">
        <v>534</v>
      </c>
    </row>
    <row r="334" spans="1:7" ht="15.75" thickBot="1">
      <c r="A334" s="18"/>
      <c r="B334" s="176"/>
      <c r="C334" s="448" t="s">
        <v>140</v>
      </c>
      <c r="D334" s="449"/>
      <c r="E334" s="431">
        <f>IF(E333&lt;0,"Salah Isi",IF(E333=1,"Tidak ada skor 1",IF(E333=3,"Tidak ada skor 3",IF(E333&lt;=4,E333,"Salah Isi"))))</f>
        <v>0</v>
      </c>
      <c r="F334" s="32"/>
      <c r="G334" s="216"/>
    </row>
    <row r="335" spans="1:7" ht="15.75" thickBot="1">
      <c r="A335" s="18"/>
      <c r="B335" s="176"/>
      <c r="E335" s="10"/>
      <c r="F335" s="32"/>
      <c r="G335" s="216"/>
    </row>
    <row r="336" spans="1:7" ht="41.25" customHeight="1" thickBot="1">
      <c r="A336" s="191">
        <v>74</v>
      </c>
      <c r="B336" s="192" t="s">
        <v>35</v>
      </c>
      <c r="C336" s="442" t="s">
        <v>36</v>
      </c>
      <c r="D336" s="443"/>
      <c r="E336" s="220">
        <v>0</v>
      </c>
      <c r="F336" s="32"/>
      <c r="G336" s="333" t="s">
        <v>530</v>
      </c>
    </row>
    <row r="337" spans="1:7" ht="15.75" thickBot="1">
      <c r="A337" s="18"/>
      <c r="B337" s="176"/>
      <c r="C337" s="444" t="s">
        <v>140</v>
      </c>
      <c r="D337" s="445"/>
      <c r="E337" s="221">
        <f>IF(E336&lt;0,"Salah Isi",IF(E336&lt;1,1,IF(E336&lt;=4,E336,"Salah Isi")))</f>
        <v>1</v>
      </c>
      <c r="F337" s="32"/>
      <c r="G337" s="216"/>
    </row>
    <row r="338" spans="1:7" ht="15.75" thickBot="1">
      <c r="A338" s="18"/>
      <c r="B338" s="176"/>
      <c r="E338" s="10"/>
      <c r="F338" s="32"/>
      <c r="G338" s="216"/>
    </row>
    <row r="339" spans="1:7" ht="53.25" customHeight="1" thickBot="1">
      <c r="A339" s="191">
        <v>75</v>
      </c>
      <c r="B339" s="192" t="s">
        <v>37</v>
      </c>
      <c r="C339" s="442" t="s">
        <v>38</v>
      </c>
      <c r="D339" s="443"/>
      <c r="E339" s="220">
        <v>0</v>
      </c>
      <c r="F339" s="32"/>
      <c r="G339" s="333" t="s">
        <v>535</v>
      </c>
    </row>
    <row r="340" spans="1:7" ht="15.75" thickBot="1">
      <c r="A340" s="18"/>
      <c r="B340" s="176"/>
      <c r="C340" s="444" t="s">
        <v>140</v>
      </c>
      <c r="D340" s="445"/>
      <c r="E340" s="221">
        <f>IF(E339&lt;0,"Salah Isi",IF(E339&lt;=4,E339,"Salah Isi"))</f>
        <v>0</v>
      </c>
      <c r="F340" s="32"/>
      <c r="G340" s="216"/>
    </row>
    <row r="341" spans="1:7" ht="15.75" thickBot="1">
      <c r="A341" s="18"/>
      <c r="B341" s="176"/>
      <c r="E341" s="10"/>
      <c r="F341" s="32"/>
      <c r="G341" s="216"/>
    </row>
    <row r="342" spans="1:7" ht="16.5" customHeight="1" thickBot="1">
      <c r="A342" s="191">
        <v>76</v>
      </c>
      <c r="B342" s="192" t="s">
        <v>39</v>
      </c>
      <c r="C342" s="442" t="s">
        <v>40</v>
      </c>
      <c r="D342" s="443"/>
      <c r="E342" s="220">
        <v>0</v>
      </c>
      <c r="F342" s="32"/>
      <c r="G342" s="333" t="s">
        <v>536</v>
      </c>
    </row>
    <row r="343" spans="1:7" ht="15.75" thickBot="1">
      <c r="A343" s="18"/>
      <c r="B343" s="176"/>
      <c r="C343" s="444" t="s">
        <v>140</v>
      </c>
      <c r="D343" s="445"/>
      <c r="E343" s="221">
        <f>IF(E342&lt;0,"Salah Isi",IF(E342&lt;=4,E342,"Salah Isi"))</f>
        <v>0</v>
      </c>
      <c r="F343" s="32"/>
      <c r="G343" s="216"/>
    </row>
    <row r="344" spans="1:7" ht="15.75" thickBot="1">
      <c r="A344" s="18"/>
      <c r="B344" s="176"/>
      <c r="E344" s="10"/>
      <c r="F344" s="32"/>
      <c r="G344" s="216"/>
    </row>
    <row r="345" spans="1:7" ht="27.75" customHeight="1" thickBot="1">
      <c r="A345" s="191">
        <v>77</v>
      </c>
      <c r="B345" s="192" t="s">
        <v>466</v>
      </c>
      <c r="C345" s="442" t="s">
        <v>439</v>
      </c>
      <c r="D345" s="443"/>
      <c r="E345" s="220">
        <v>0</v>
      </c>
      <c r="F345" s="32"/>
      <c r="G345" s="333" t="s">
        <v>537</v>
      </c>
    </row>
    <row r="346" spans="1:7" ht="15.75" thickBot="1">
      <c r="A346" s="18"/>
      <c r="B346" s="176"/>
      <c r="C346" s="444" t="s">
        <v>140</v>
      </c>
      <c r="D346" s="445"/>
      <c r="E346" s="221">
        <f>IF(E345&lt;0,"Salah Isi",IF(E345&lt;=4,E345,"Salah Isi"))</f>
        <v>0</v>
      </c>
      <c r="F346" s="32"/>
      <c r="G346" s="216"/>
    </row>
    <row r="347" spans="1:7" ht="15.75" thickBot="1">
      <c r="A347" s="18"/>
      <c r="B347" s="176"/>
      <c r="E347" s="10"/>
      <c r="F347" s="32"/>
      <c r="G347" s="216"/>
    </row>
    <row r="348" spans="1:17" s="29" customFormat="1" ht="57" customHeight="1" thickBot="1">
      <c r="A348" s="191">
        <v>78</v>
      </c>
      <c r="B348" s="192" t="s">
        <v>467</v>
      </c>
      <c r="C348" s="442" t="s">
        <v>440</v>
      </c>
      <c r="D348" s="443"/>
      <c r="E348" s="220">
        <v>0</v>
      </c>
      <c r="F348" s="32"/>
      <c r="G348" s="333" t="s">
        <v>538</v>
      </c>
      <c r="H348" s="5"/>
      <c r="M348" s="17"/>
      <c r="N348" s="17"/>
      <c r="O348" s="17"/>
      <c r="P348" s="17"/>
      <c r="Q348" s="17"/>
    </row>
    <row r="349" spans="1:17" s="29" customFormat="1" ht="15.75" thickBot="1">
      <c r="A349" s="18"/>
      <c r="B349" s="176"/>
      <c r="C349" s="444" t="s">
        <v>140</v>
      </c>
      <c r="D349" s="445"/>
      <c r="E349" s="221">
        <f>IF(E348&lt;0,"Salah Isi",IF(E348&lt;=4,E348,"Salah Isi"))</f>
        <v>0</v>
      </c>
      <c r="F349" s="32"/>
      <c r="G349" s="216"/>
      <c r="H349" s="5"/>
      <c r="M349" s="17"/>
      <c r="N349" s="17"/>
      <c r="O349" s="17"/>
      <c r="P349" s="17"/>
      <c r="Q349" s="17"/>
    </row>
    <row r="350" spans="1:17" s="29" customFormat="1" ht="15.75" thickBot="1">
      <c r="A350" s="18"/>
      <c r="B350" s="176"/>
      <c r="E350" s="10"/>
      <c r="F350" s="32"/>
      <c r="G350" s="216"/>
      <c r="H350" s="5"/>
      <c r="M350" s="17"/>
      <c r="N350" s="17"/>
      <c r="O350" s="17"/>
      <c r="P350" s="17"/>
      <c r="Q350" s="17"/>
    </row>
    <row r="351" spans="1:7" ht="42.75" customHeight="1" thickBot="1">
      <c r="A351" s="191">
        <v>79</v>
      </c>
      <c r="B351" s="192" t="s">
        <v>322</v>
      </c>
      <c r="C351" s="466" t="s">
        <v>441</v>
      </c>
      <c r="D351" s="467"/>
      <c r="E351" s="220">
        <v>0</v>
      </c>
      <c r="F351" s="32"/>
      <c r="G351" s="333" t="s">
        <v>539</v>
      </c>
    </row>
    <row r="352" spans="1:7" ht="15.75" thickBot="1">
      <c r="A352" s="18"/>
      <c r="B352" s="176"/>
      <c r="C352" s="444" t="s">
        <v>140</v>
      </c>
      <c r="D352" s="445"/>
      <c r="E352" s="221">
        <f>IF(E351&lt;0,"Salah Isi",IF(E351&lt;=4,E351,"Salah Isi"))</f>
        <v>0</v>
      </c>
      <c r="F352" s="32"/>
      <c r="G352" s="216"/>
    </row>
    <row r="353" spans="1:7" ht="15.75" thickBot="1">
      <c r="A353" s="18"/>
      <c r="B353" s="176"/>
      <c r="E353" s="10"/>
      <c r="F353" s="32"/>
      <c r="G353" s="216"/>
    </row>
    <row r="354" spans="1:17" s="29" customFormat="1" ht="44.25" customHeight="1" thickBot="1">
      <c r="A354" s="191">
        <v>80</v>
      </c>
      <c r="B354" s="192" t="s">
        <v>442</v>
      </c>
      <c r="C354" s="442" t="s">
        <v>443</v>
      </c>
      <c r="D354" s="443"/>
      <c r="E354" s="243"/>
      <c r="F354" s="32"/>
      <c r="G354" s="333" t="s">
        <v>481</v>
      </c>
      <c r="H354" s="5"/>
      <c r="M354" s="17"/>
      <c r="N354" s="17"/>
      <c r="O354" s="17"/>
      <c r="P354" s="17"/>
      <c r="Q354" s="17"/>
    </row>
    <row r="355" spans="1:17" s="29" customFormat="1" ht="18" customHeight="1" thickBot="1">
      <c r="A355" s="191"/>
      <c r="B355" s="192"/>
      <c r="C355" s="470" t="s">
        <v>540</v>
      </c>
      <c r="D355" s="471"/>
      <c r="E355" s="220">
        <v>870.34250502</v>
      </c>
      <c r="F355" s="32"/>
      <c r="G355" s="244"/>
      <c r="H355" s="5"/>
      <c r="M355" s="17"/>
      <c r="N355" s="17"/>
      <c r="O355" s="17"/>
      <c r="P355" s="17"/>
      <c r="Q355" s="17"/>
    </row>
    <row r="356" spans="1:17" s="29" customFormat="1" ht="18" customHeight="1" thickBot="1">
      <c r="A356" s="191"/>
      <c r="B356" s="192"/>
      <c r="C356" s="470" t="s">
        <v>541</v>
      </c>
      <c r="D356" s="471"/>
      <c r="E356" s="220">
        <v>2313.621</v>
      </c>
      <c r="F356" s="32"/>
      <c r="G356" s="244"/>
      <c r="H356" s="5"/>
      <c r="M356" s="17"/>
      <c r="N356" s="17"/>
      <c r="O356" s="17"/>
      <c r="P356" s="17"/>
      <c r="Q356" s="17"/>
    </row>
    <row r="357" spans="1:17" s="29" customFormat="1" ht="18" customHeight="1">
      <c r="A357" s="191"/>
      <c r="B357" s="192"/>
      <c r="C357" s="470" t="s">
        <v>220</v>
      </c>
      <c r="D357" s="471"/>
      <c r="E357" s="335">
        <f>E355/E356</f>
        <v>0.37618196974353185</v>
      </c>
      <c r="F357" s="32"/>
      <c r="G357" s="244"/>
      <c r="H357" s="5"/>
      <c r="M357" s="17"/>
      <c r="N357" s="17"/>
      <c r="O357" s="17"/>
      <c r="P357" s="17"/>
      <c r="Q357" s="17"/>
    </row>
    <row r="358" spans="1:17" s="29" customFormat="1" ht="18" customHeight="1" thickBot="1">
      <c r="A358" s="191"/>
      <c r="B358" s="192"/>
      <c r="C358" s="444" t="s">
        <v>140</v>
      </c>
      <c r="D358" s="445"/>
      <c r="E358" s="267">
        <f>IF(E357&lt;0,"Salah Isi",IF(E357&lt;=1,IF(E357&lt;=30%,4,IF(E357&lt;95%,(70-60*E357)/13,20-20*E357)),"Salah Isi"))</f>
        <v>3.648390908876007</v>
      </c>
      <c r="F358" s="32"/>
      <c r="G358" s="244"/>
      <c r="H358" s="5"/>
      <c r="M358" s="17"/>
      <c r="N358" s="17"/>
      <c r="O358" s="17"/>
      <c r="P358" s="17"/>
      <c r="Q358" s="17"/>
    </row>
    <row r="359" spans="1:17" s="29" customFormat="1" ht="18" customHeight="1" thickBot="1">
      <c r="A359" s="191"/>
      <c r="B359" s="192"/>
      <c r="C359" s="266"/>
      <c r="D359" s="266"/>
      <c r="E359" s="18"/>
      <c r="F359" s="32"/>
      <c r="G359" s="244"/>
      <c r="H359" s="5"/>
      <c r="M359" s="17"/>
      <c r="N359" s="17"/>
      <c r="O359" s="17"/>
      <c r="P359" s="17"/>
      <c r="Q359" s="17"/>
    </row>
    <row r="360" spans="1:17" s="29" customFormat="1" ht="28.5" customHeight="1" thickBot="1">
      <c r="A360" s="191">
        <v>81</v>
      </c>
      <c r="B360" s="192" t="s">
        <v>444</v>
      </c>
      <c r="C360" s="442" t="s">
        <v>445</v>
      </c>
      <c r="D360" s="443"/>
      <c r="E360" s="243"/>
      <c r="F360" s="32"/>
      <c r="G360" s="333" t="s">
        <v>542</v>
      </c>
      <c r="H360" s="5"/>
      <c r="M360" s="17"/>
      <c r="N360" s="17"/>
      <c r="O360" s="17"/>
      <c r="P360" s="17"/>
      <c r="Q360" s="17"/>
    </row>
    <row r="361" spans="1:17" s="29" customFormat="1" ht="17.25" customHeight="1">
      <c r="A361" s="191"/>
      <c r="B361" s="192"/>
      <c r="C361" s="355" t="s">
        <v>661</v>
      </c>
      <c r="D361" s="351"/>
      <c r="E361" s="228">
        <v>1</v>
      </c>
      <c r="F361" s="32" t="str">
        <f>IF(E361=0,"Benar",IF(E361=1,"Benar","Salah"))</f>
        <v>Benar</v>
      </c>
      <c r="G361" s="365"/>
      <c r="H361" s="5"/>
      <c r="M361" s="17"/>
      <c r="N361" s="17"/>
      <c r="O361" s="17"/>
      <c r="P361" s="17"/>
      <c r="Q361" s="17"/>
    </row>
    <row r="362" spans="1:7" ht="15">
      <c r="A362" s="218"/>
      <c r="B362" s="82"/>
      <c r="C362" s="217" t="s">
        <v>248</v>
      </c>
      <c r="D362" s="84"/>
      <c r="E362" s="223">
        <v>20</v>
      </c>
      <c r="F362" s="260" t="s">
        <v>486</v>
      </c>
      <c r="G362" s="216"/>
    </row>
    <row r="363" spans="1:7" ht="15">
      <c r="A363" s="218"/>
      <c r="B363" s="82"/>
      <c r="C363" s="252" t="s">
        <v>249</v>
      </c>
      <c r="D363" s="84"/>
      <c r="E363" s="223">
        <v>0</v>
      </c>
      <c r="F363" s="260" t="s">
        <v>486</v>
      </c>
      <c r="G363" s="216"/>
    </row>
    <row r="364" spans="1:7" ht="15">
      <c r="A364" s="218"/>
      <c r="B364" s="82"/>
      <c r="C364" s="252" t="s">
        <v>250</v>
      </c>
      <c r="D364" s="84"/>
      <c r="E364" s="223">
        <v>0</v>
      </c>
      <c r="F364" s="260" t="s">
        <v>486</v>
      </c>
      <c r="G364" s="216"/>
    </row>
    <row r="365" spans="1:7" ht="15">
      <c r="A365" s="218"/>
      <c r="B365" s="82"/>
      <c r="C365" s="252" t="s">
        <v>252</v>
      </c>
      <c r="D365" s="84"/>
      <c r="E365" s="224">
        <f>SUM(E362:E364)</f>
        <v>20</v>
      </c>
      <c r="F365" s="260"/>
      <c r="G365" s="216"/>
    </row>
    <row r="366" spans="1:7" ht="15">
      <c r="A366" s="218"/>
      <c r="B366" s="82"/>
      <c r="C366" s="252" t="s">
        <v>251</v>
      </c>
      <c r="D366" s="84"/>
      <c r="E366" s="223">
        <v>1</v>
      </c>
      <c r="F366" s="260"/>
      <c r="G366" s="216"/>
    </row>
    <row r="367" spans="1:17" s="29" customFormat="1" ht="15">
      <c r="A367" s="218"/>
      <c r="B367" s="82"/>
      <c r="C367" s="363" t="s">
        <v>716</v>
      </c>
      <c r="D367" s="364"/>
      <c r="E367" s="224">
        <f>E365/E366</f>
        <v>20</v>
      </c>
      <c r="F367" s="260"/>
      <c r="G367" s="216"/>
      <c r="H367" s="5"/>
      <c r="M367" s="17"/>
      <c r="N367" s="17"/>
      <c r="O367" s="17"/>
      <c r="P367" s="17"/>
      <c r="Q367" s="17"/>
    </row>
    <row r="368" spans="1:7" ht="15.75" thickBot="1">
      <c r="A368" s="218"/>
      <c r="B368" s="82"/>
      <c r="C368" s="545" t="s">
        <v>717</v>
      </c>
      <c r="D368" s="546"/>
      <c r="E368" s="232">
        <f>IF(E367&lt;=3,(2*E367)/3,IF(E367&lt;15,1.5+E367/6,4))</f>
        <v>4</v>
      </c>
      <c r="F368" s="260"/>
      <c r="G368" s="216"/>
    </row>
    <row r="369" spans="1:17" s="29" customFormat="1" ht="15.75" thickBot="1">
      <c r="A369" s="218"/>
      <c r="B369" s="82"/>
      <c r="C369" s="361" t="s">
        <v>718</v>
      </c>
      <c r="D369" s="362"/>
      <c r="E369" s="232">
        <f>IF(E367&lt;20,E367/5,4)</f>
        <v>4</v>
      </c>
      <c r="F369" s="260"/>
      <c r="G369" s="216"/>
      <c r="H369" s="5"/>
      <c r="M369" s="17"/>
      <c r="N369" s="17"/>
      <c r="O369" s="17"/>
      <c r="P369" s="17"/>
      <c r="Q369" s="17"/>
    </row>
    <row r="370" spans="1:7" ht="15.75" thickBot="1">
      <c r="A370" s="218"/>
      <c r="B370" s="82"/>
      <c r="C370" s="253" t="s">
        <v>140</v>
      </c>
      <c r="D370" s="250"/>
      <c r="E370" s="221">
        <f>IF(E361=0,E368,IF(E361=1,E369,"Salah Isi"))</f>
        <v>4</v>
      </c>
      <c r="F370" s="260"/>
      <c r="G370" s="216"/>
    </row>
    <row r="371" spans="1:7" ht="15.75" thickBot="1">
      <c r="A371" s="218"/>
      <c r="B371" s="82"/>
      <c r="C371" s="78"/>
      <c r="D371" s="78"/>
      <c r="E371" s="163"/>
      <c r="F371" s="260"/>
      <c r="G371" s="216"/>
    </row>
    <row r="372" spans="1:7" ht="18.75" customHeight="1" thickBot="1">
      <c r="A372" s="191">
        <v>82</v>
      </c>
      <c r="B372" s="192" t="s">
        <v>42</v>
      </c>
      <c r="C372" s="442" t="s">
        <v>446</v>
      </c>
      <c r="D372" s="443"/>
      <c r="E372" s="220">
        <v>8</v>
      </c>
      <c r="F372" s="260" t="s">
        <v>486</v>
      </c>
      <c r="G372" s="333" t="s">
        <v>543</v>
      </c>
    </row>
    <row r="373" spans="1:7" ht="15">
      <c r="A373" s="218"/>
      <c r="B373" s="82"/>
      <c r="C373" s="217" t="s">
        <v>253</v>
      </c>
      <c r="D373" s="84"/>
      <c r="E373" s="223">
        <v>1</v>
      </c>
      <c r="F373" s="260"/>
      <c r="G373" s="216"/>
    </row>
    <row r="374" spans="1:7" ht="15">
      <c r="A374" s="218"/>
      <c r="B374" s="82"/>
      <c r="C374" s="252" t="s">
        <v>254</v>
      </c>
      <c r="D374" s="84"/>
      <c r="E374" s="224">
        <f>E372/(3*E373)</f>
        <v>2.6666666666666665</v>
      </c>
      <c r="F374" s="260" t="s">
        <v>486</v>
      </c>
      <c r="G374" s="216"/>
    </row>
    <row r="375" spans="1:7" ht="15.75" thickBot="1">
      <c r="A375" s="218"/>
      <c r="B375" s="82"/>
      <c r="C375" s="253" t="s">
        <v>140</v>
      </c>
      <c r="D375" s="250"/>
      <c r="E375" s="221">
        <f>IF(E374&gt;=2,4,2*E374)</f>
        <v>4</v>
      </c>
      <c r="F375" s="260"/>
      <c r="G375" s="216"/>
    </row>
    <row r="376" spans="1:7" ht="15.75" thickBot="1">
      <c r="A376" s="218"/>
      <c r="B376" s="82"/>
      <c r="C376" s="78"/>
      <c r="D376" s="78"/>
      <c r="E376" s="163"/>
      <c r="F376" s="260"/>
      <c r="G376" s="216"/>
    </row>
    <row r="377" spans="1:7" ht="28.5" customHeight="1" thickBot="1">
      <c r="A377" s="191">
        <v>83</v>
      </c>
      <c r="B377" s="192" t="s">
        <v>43</v>
      </c>
      <c r="C377" s="442" t="s">
        <v>544</v>
      </c>
      <c r="D377" s="443"/>
      <c r="E377" s="220">
        <v>0</v>
      </c>
      <c r="F377" s="260" t="s">
        <v>486</v>
      </c>
      <c r="G377" s="333" t="s">
        <v>543</v>
      </c>
    </row>
    <row r="378" spans="1:7" ht="15">
      <c r="A378" s="218"/>
      <c r="B378" s="82"/>
      <c r="C378" s="217" t="s">
        <v>255</v>
      </c>
      <c r="D378" s="84"/>
      <c r="E378" s="223">
        <v>1</v>
      </c>
      <c r="F378" s="260"/>
      <c r="G378" s="216"/>
    </row>
    <row r="379" spans="1:7" ht="15">
      <c r="A379" s="218"/>
      <c r="B379" s="82"/>
      <c r="C379" s="252" t="s">
        <v>256</v>
      </c>
      <c r="D379" s="84"/>
      <c r="E379" s="224">
        <f>E377/(3*E378)</f>
        <v>0</v>
      </c>
      <c r="F379" s="260" t="s">
        <v>486</v>
      </c>
      <c r="G379" s="216"/>
    </row>
    <row r="380" spans="1:7" ht="15.75" thickBot="1">
      <c r="A380" s="218"/>
      <c r="B380" s="82"/>
      <c r="C380" s="253" t="s">
        <v>140</v>
      </c>
      <c r="D380" s="250"/>
      <c r="E380" s="221">
        <f>IF(E379&gt;=4,4,E379)</f>
        <v>0</v>
      </c>
      <c r="F380" s="260"/>
      <c r="G380" s="216"/>
    </row>
    <row r="381" spans="1:7" ht="15.75" thickBot="1">
      <c r="A381" s="218"/>
      <c r="B381" s="82"/>
      <c r="C381" s="78"/>
      <c r="D381" s="78"/>
      <c r="E381" s="163"/>
      <c r="F381" s="260"/>
      <c r="G381" s="216"/>
    </row>
    <row r="382" spans="1:17" s="29" customFormat="1" ht="18" customHeight="1" thickBot="1">
      <c r="A382" s="191">
        <v>84</v>
      </c>
      <c r="B382" s="192" t="s">
        <v>44</v>
      </c>
      <c r="C382" s="454" t="s">
        <v>447</v>
      </c>
      <c r="D382" s="455"/>
      <c r="E382" s="222"/>
      <c r="F382" s="260"/>
      <c r="G382" s="333" t="s">
        <v>545</v>
      </c>
      <c r="H382" s="5"/>
      <c r="M382" s="17"/>
      <c r="N382" s="17"/>
      <c r="O382" s="17"/>
      <c r="P382" s="17"/>
      <c r="Q382" s="17"/>
    </row>
    <row r="383" spans="1:7" ht="15">
      <c r="A383" s="218"/>
      <c r="B383" s="82"/>
      <c r="C383" s="178" t="s">
        <v>76</v>
      </c>
      <c r="D383" s="179" t="s">
        <v>260</v>
      </c>
      <c r="E383" s="223">
        <v>60</v>
      </c>
      <c r="F383" s="260"/>
      <c r="G383" s="216"/>
    </row>
    <row r="384" spans="1:7" ht="15">
      <c r="A384" s="218"/>
      <c r="B384" s="82"/>
      <c r="C384" s="178" t="s">
        <v>78</v>
      </c>
      <c r="D384" s="179" t="s">
        <v>261</v>
      </c>
      <c r="E384" s="223">
        <v>40</v>
      </c>
      <c r="F384" s="260"/>
      <c r="G384" s="216"/>
    </row>
    <row r="385" spans="1:7" ht="15">
      <c r="A385" s="218"/>
      <c r="B385" s="82"/>
      <c r="C385" s="178" t="s">
        <v>83</v>
      </c>
      <c r="D385" s="179" t="s">
        <v>262</v>
      </c>
      <c r="E385" s="223">
        <v>20</v>
      </c>
      <c r="F385" s="260"/>
      <c r="G385" s="216"/>
    </row>
    <row r="386" spans="1:7" ht="15">
      <c r="A386" s="218"/>
      <c r="B386" s="82"/>
      <c r="C386" s="178" t="s">
        <v>85</v>
      </c>
      <c r="D386" s="179" t="s">
        <v>263</v>
      </c>
      <c r="E386" s="223">
        <v>20</v>
      </c>
      <c r="F386" s="260"/>
      <c r="G386" s="216"/>
    </row>
    <row r="387" spans="1:7" ht="15">
      <c r="A387" s="218"/>
      <c r="B387" s="82"/>
      <c r="C387" s="178" t="s">
        <v>154</v>
      </c>
      <c r="D387" s="179" t="s">
        <v>257</v>
      </c>
      <c r="E387" s="224">
        <f>(E383)+(2*E384)+(3*E385)+(4*E386)</f>
        <v>280</v>
      </c>
      <c r="F387" s="260"/>
      <c r="G387" s="216"/>
    </row>
    <row r="388" spans="1:7" ht="15">
      <c r="A388" s="218"/>
      <c r="B388" s="82"/>
      <c r="C388" s="90" t="s">
        <v>156</v>
      </c>
      <c r="D388" s="182" t="s">
        <v>258</v>
      </c>
      <c r="E388" s="224">
        <f>E383+E384+E385+E386</f>
        <v>140</v>
      </c>
      <c r="F388" s="260"/>
      <c r="G388" s="216"/>
    </row>
    <row r="389" spans="1:7" ht="15">
      <c r="A389" s="218"/>
      <c r="B389" s="82"/>
      <c r="C389" s="178" t="s">
        <v>157</v>
      </c>
      <c r="D389" s="179" t="s">
        <v>259</v>
      </c>
      <c r="E389" s="224">
        <f>E387/E388</f>
        <v>2</v>
      </c>
      <c r="F389" s="260"/>
      <c r="G389" s="216"/>
    </row>
    <row r="390" spans="1:7" ht="15">
      <c r="A390" s="218"/>
      <c r="B390" s="82"/>
      <c r="C390" s="256" t="s">
        <v>308</v>
      </c>
      <c r="D390" s="51"/>
      <c r="E390" s="223">
        <v>20</v>
      </c>
      <c r="F390" s="260"/>
      <c r="G390" s="216"/>
    </row>
    <row r="391" spans="1:7" ht="15.75" thickBot="1">
      <c r="A391" s="218"/>
      <c r="B391" s="82"/>
      <c r="C391" s="183" t="s">
        <v>140</v>
      </c>
      <c r="D391" s="184"/>
      <c r="E391" s="221">
        <f>IF(E388/E390&lt;4,0,E389)</f>
        <v>2</v>
      </c>
      <c r="F391" s="260"/>
      <c r="G391" s="216"/>
    </row>
    <row r="392" spans="1:7" ht="15.75" thickBot="1">
      <c r="A392" s="18"/>
      <c r="B392" s="176"/>
      <c r="E392" s="10"/>
      <c r="F392" s="32"/>
      <c r="G392" s="216"/>
    </row>
    <row r="393" spans="1:7" ht="69" customHeight="1" thickBot="1">
      <c r="A393" s="191">
        <v>85</v>
      </c>
      <c r="B393" s="192" t="s">
        <v>45</v>
      </c>
      <c r="C393" s="442" t="s">
        <v>708</v>
      </c>
      <c r="D393" s="443"/>
      <c r="E393" s="220">
        <v>0</v>
      </c>
      <c r="F393" s="32"/>
      <c r="G393" s="333" t="s">
        <v>546</v>
      </c>
    </row>
    <row r="394" spans="1:7" ht="15.75" thickBot="1">
      <c r="A394" s="18"/>
      <c r="B394" s="176"/>
      <c r="C394" s="444" t="s">
        <v>140</v>
      </c>
      <c r="D394" s="445"/>
      <c r="E394" s="221">
        <f>IF(E393&lt;0,"Salah Isi",IF(E393&lt;1,1,IF(E393&lt;=4,E393,"Salah Isi")))</f>
        <v>1</v>
      </c>
      <c r="F394" s="32"/>
      <c r="G394" s="216"/>
    </row>
    <row r="395" spans="1:7" ht="15">
      <c r="A395" s="18"/>
      <c r="B395" s="176"/>
      <c r="E395" s="10"/>
      <c r="F395" s="32"/>
      <c r="G395" s="216"/>
    </row>
    <row r="396" spans="1:17" s="29" customFormat="1" ht="15.75" thickBot="1">
      <c r="A396" s="18"/>
      <c r="B396" s="197"/>
      <c r="C396" s="193"/>
      <c r="D396" s="193"/>
      <c r="E396" s="229"/>
      <c r="F396" s="32"/>
      <c r="G396" s="216"/>
      <c r="H396" s="5"/>
      <c r="M396" s="17"/>
      <c r="N396" s="17"/>
      <c r="O396" s="17"/>
      <c r="P396" s="17"/>
      <c r="Q396" s="17"/>
    </row>
    <row r="397" spans="1:17" s="29" customFormat="1" ht="39" customHeight="1" thickBot="1">
      <c r="A397" s="191">
        <v>86</v>
      </c>
      <c r="B397" s="192" t="s">
        <v>46</v>
      </c>
      <c r="C397" s="450" t="s">
        <v>547</v>
      </c>
      <c r="D397" s="451"/>
      <c r="E397" s="220">
        <v>3</v>
      </c>
      <c r="F397" s="32"/>
      <c r="G397" s="333" t="s">
        <v>549</v>
      </c>
      <c r="H397" s="5"/>
      <c r="M397" s="17"/>
      <c r="N397" s="17"/>
      <c r="O397" s="17"/>
      <c r="P397" s="17"/>
      <c r="Q397" s="17"/>
    </row>
    <row r="398" spans="1:17" s="29" customFormat="1" ht="15.75" thickBot="1">
      <c r="A398" s="18"/>
      <c r="B398" s="197"/>
      <c r="C398" s="444" t="s">
        <v>140</v>
      </c>
      <c r="D398" s="445"/>
      <c r="E398" s="221">
        <f>IF(E397&lt;0,"Salah Isi",IF(E397&lt;=4,E397,"Salah Isi"))</f>
        <v>3</v>
      </c>
      <c r="F398" s="32"/>
      <c r="G398" s="216"/>
      <c r="H398" s="5"/>
      <c r="M398" s="17"/>
      <c r="N398" s="17"/>
      <c r="O398" s="17"/>
      <c r="P398" s="17"/>
      <c r="Q398" s="17"/>
    </row>
    <row r="399" spans="1:17" s="29" customFormat="1" ht="15.75" thickBot="1">
      <c r="A399" s="18"/>
      <c r="B399" s="197"/>
      <c r="C399" s="193"/>
      <c r="D399" s="193"/>
      <c r="E399" s="229"/>
      <c r="F399" s="32"/>
      <c r="G399" s="216"/>
      <c r="H399" s="5"/>
      <c r="M399" s="17"/>
      <c r="N399" s="17"/>
      <c r="O399" s="17"/>
      <c r="P399" s="17"/>
      <c r="Q399" s="17"/>
    </row>
    <row r="400" spans="1:7" ht="27.75" customHeight="1" thickBot="1">
      <c r="A400" s="191">
        <v>87</v>
      </c>
      <c r="B400" s="192" t="s">
        <v>449</v>
      </c>
      <c r="C400" s="442" t="s">
        <v>450</v>
      </c>
      <c r="D400" s="443"/>
      <c r="E400" s="236"/>
      <c r="F400" s="260"/>
      <c r="G400" s="333" t="s">
        <v>548</v>
      </c>
    </row>
    <row r="401" spans="1:17" s="29" customFormat="1" ht="32.25" customHeight="1" thickBot="1">
      <c r="A401" s="191"/>
      <c r="B401" s="192"/>
      <c r="C401" s="474" t="s">
        <v>514</v>
      </c>
      <c r="D401" s="475"/>
      <c r="E401" s="223">
        <v>3</v>
      </c>
      <c r="F401" s="32" t="str">
        <f>IF(E401=1,"Benar",IF(E401=2,"Benar",IF(E401=3,"Benar",IF(E401=4,"Benar","Salah"))))</f>
        <v>Benar</v>
      </c>
      <c r="G401" s="349"/>
      <c r="H401" s="5"/>
      <c r="M401" s="17"/>
      <c r="N401" s="17"/>
      <c r="O401" s="17"/>
      <c r="P401" s="17"/>
      <c r="Q401" s="17"/>
    </row>
    <row r="402" spans="1:17" s="29" customFormat="1" ht="28.5" customHeight="1">
      <c r="A402" s="191"/>
      <c r="B402" s="192"/>
      <c r="C402" s="442" t="s">
        <v>658</v>
      </c>
      <c r="D402" s="443"/>
      <c r="E402" s="228">
        <v>100</v>
      </c>
      <c r="F402" s="32"/>
      <c r="G402" s="349"/>
      <c r="H402" s="5"/>
      <c r="M402" s="17"/>
      <c r="N402" s="17"/>
      <c r="O402" s="17"/>
      <c r="P402" s="17"/>
      <c r="Q402" s="17"/>
    </row>
    <row r="403" spans="1:17" s="29" customFormat="1" ht="18" customHeight="1">
      <c r="A403" s="191"/>
      <c r="B403" s="192"/>
      <c r="C403" s="350" t="s">
        <v>516</v>
      </c>
      <c r="D403" s="351"/>
      <c r="E403" s="352">
        <f>IF(E402&gt;=60,4,(E402/15))</f>
        <v>4</v>
      </c>
      <c r="F403" s="260"/>
      <c r="G403" s="349"/>
      <c r="H403" s="5"/>
      <c r="M403" s="17"/>
      <c r="N403" s="17"/>
      <c r="O403" s="17"/>
      <c r="P403" s="17"/>
      <c r="Q403" s="17"/>
    </row>
    <row r="404" spans="1:17" s="29" customFormat="1" ht="18" customHeight="1">
      <c r="A404" s="191"/>
      <c r="B404" s="192"/>
      <c r="C404" s="350" t="s">
        <v>517</v>
      </c>
      <c r="D404" s="351"/>
      <c r="E404" s="352">
        <f>IF(E402&lt;=40,0,IF(E402&lt;120,(E402/20)-2,4))</f>
        <v>3</v>
      </c>
      <c r="F404" s="260"/>
      <c r="G404" s="349"/>
      <c r="H404" s="5"/>
      <c r="M404" s="17"/>
      <c r="N404" s="17"/>
      <c r="O404" s="17"/>
      <c r="P404" s="17"/>
      <c r="Q404" s="17"/>
    </row>
    <row r="405" spans="1:17" s="29" customFormat="1" ht="19.5" customHeight="1">
      <c r="A405" s="191"/>
      <c r="B405" s="192"/>
      <c r="C405" s="350" t="s">
        <v>518</v>
      </c>
      <c r="D405" s="351"/>
      <c r="E405" s="352">
        <f>IF(E402&lt;=65,0,IF(E402&lt;165,(E402/25)-2.6,4))</f>
        <v>1.4</v>
      </c>
      <c r="F405" s="260"/>
      <c r="G405" s="349"/>
      <c r="H405" s="5"/>
      <c r="M405" s="17"/>
      <c r="N405" s="17"/>
      <c r="O405" s="17"/>
      <c r="P405" s="17"/>
      <c r="Q405" s="17"/>
    </row>
    <row r="406" spans="1:7" ht="15">
      <c r="A406" s="218"/>
      <c r="B406" s="82"/>
      <c r="C406" s="313" t="s">
        <v>519</v>
      </c>
      <c r="D406" s="84"/>
      <c r="E406" s="352">
        <f>IF(E402&lt;=96,0,IF(E402&lt;216,(E402/30)-3.2,4))</f>
        <v>0.1333333333333333</v>
      </c>
      <c r="F406" s="260"/>
      <c r="G406" s="216"/>
    </row>
    <row r="407" spans="1:7" ht="15.75" thickBot="1">
      <c r="A407" s="218"/>
      <c r="B407" s="82"/>
      <c r="C407" s="314" t="s">
        <v>140</v>
      </c>
      <c r="D407" s="250"/>
      <c r="E407" s="221">
        <f>IF(E401=1,E403,IF(E401=2,E404,IF(E401=3,E405,IF(E401=4,E406,"Salah Isi"))))</f>
        <v>1.4</v>
      </c>
      <c r="F407" s="264"/>
      <c r="G407" s="216"/>
    </row>
    <row r="408" spans="1:7" ht="15.75" thickBot="1">
      <c r="A408" s="218"/>
      <c r="B408" s="82"/>
      <c r="C408" s="78"/>
      <c r="D408" s="78"/>
      <c r="E408" s="163"/>
      <c r="F408" s="260"/>
      <c r="G408" s="216"/>
    </row>
    <row r="409" spans="1:7" ht="27.75" customHeight="1" thickBot="1">
      <c r="A409" s="191">
        <v>88</v>
      </c>
      <c r="B409" s="192" t="s">
        <v>451</v>
      </c>
      <c r="C409" s="442" t="s">
        <v>674</v>
      </c>
      <c r="D409" s="443"/>
      <c r="E409" s="220">
        <v>0</v>
      </c>
      <c r="F409" s="260" t="str">
        <f>IF(E409&lt;0,"Salah",IF(E409&lt;=1,"Benar","Salah"))</f>
        <v>Benar</v>
      </c>
      <c r="G409" s="333" t="s">
        <v>550</v>
      </c>
    </row>
    <row r="410" spans="1:7" ht="15">
      <c r="A410" s="218"/>
      <c r="B410" s="82"/>
      <c r="C410" s="252" t="s">
        <v>264</v>
      </c>
      <c r="D410" s="84"/>
      <c r="E410" s="224">
        <f>IF(E409&lt;0,"Salah Isi",IF(E409&lt;=60%,0,IF(E409&lt;=100%,(10*E409)-6,"Salah Isi")))</f>
        <v>0</v>
      </c>
      <c r="F410" s="260"/>
      <c r="G410" s="216"/>
    </row>
    <row r="411" spans="1:7" ht="15.75" thickBot="1">
      <c r="A411" s="218"/>
      <c r="B411" s="82"/>
      <c r="C411" s="253" t="s">
        <v>140</v>
      </c>
      <c r="D411" s="250"/>
      <c r="E411" s="221">
        <f>E410</f>
        <v>0</v>
      </c>
      <c r="F411" s="264"/>
      <c r="G411" s="216"/>
    </row>
    <row r="412" spans="1:7" ht="15.75" thickBot="1">
      <c r="A412" s="18"/>
      <c r="B412" s="176"/>
      <c r="E412" s="10"/>
      <c r="F412" s="32"/>
      <c r="G412" s="216"/>
    </row>
    <row r="413" spans="1:17" s="29" customFormat="1" ht="15" customHeight="1" thickBot="1">
      <c r="A413" s="191">
        <v>89</v>
      </c>
      <c r="B413" s="192" t="s">
        <v>452</v>
      </c>
      <c r="C413" s="442" t="s">
        <v>453</v>
      </c>
      <c r="D413" s="443"/>
      <c r="E413" s="236"/>
      <c r="F413" s="32"/>
      <c r="G413" s="333" t="s">
        <v>550</v>
      </c>
      <c r="H413" s="5"/>
      <c r="M413" s="17"/>
      <c r="N413" s="17"/>
      <c r="O413" s="17"/>
      <c r="P413" s="17"/>
      <c r="Q413" s="17"/>
    </row>
    <row r="414" spans="1:17" s="29" customFormat="1" ht="15">
      <c r="A414" s="18"/>
      <c r="B414" s="197"/>
      <c r="C414" s="252" t="s">
        <v>264</v>
      </c>
      <c r="D414" s="84"/>
      <c r="E414" s="223">
        <v>0</v>
      </c>
      <c r="F414" s="32"/>
      <c r="G414" s="216"/>
      <c r="H414" s="5"/>
      <c r="M414" s="17"/>
      <c r="N414" s="17"/>
      <c r="O414" s="17"/>
      <c r="P414" s="17"/>
      <c r="Q414" s="17"/>
    </row>
    <row r="415" spans="1:17" s="29" customFormat="1" ht="15.75" thickBot="1">
      <c r="A415" s="18"/>
      <c r="B415" s="197"/>
      <c r="C415" s="253" t="s">
        <v>677</v>
      </c>
      <c r="D415" s="250"/>
      <c r="E415" s="221">
        <f>IF(E414&lt;1,1,IF(E414&lt;=4,E414,4))</f>
        <v>1</v>
      </c>
      <c r="F415" s="32"/>
      <c r="G415" s="216"/>
      <c r="H415" s="5"/>
      <c r="M415" s="17"/>
      <c r="N415" s="17"/>
      <c r="O415" s="17"/>
      <c r="P415" s="17"/>
      <c r="Q415" s="17"/>
    </row>
    <row r="416" spans="1:17" s="29" customFormat="1" ht="15.75" thickBot="1">
      <c r="A416" s="18"/>
      <c r="B416" s="197"/>
      <c r="E416" s="10"/>
      <c r="F416" s="32"/>
      <c r="G416" s="216"/>
      <c r="H416" s="5"/>
      <c r="M416" s="17"/>
      <c r="N416" s="17"/>
      <c r="O416" s="17"/>
      <c r="P416" s="17"/>
      <c r="Q416" s="17"/>
    </row>
    <row r="417" spans="1:7" ht="27" customHeight="1" thickBot="1">
      <c r="A417" s="191">
        <v>90</v>
      </c>
      <c r="B417" s="192" t="s">
        <v>454</v>
      </c>
      <c r="C417" s="442" t="s">
        <v>323</v>
      </c>
      <c r="D417" s="443"/>
      <c r="E417" s="243"/>
      <c r="F417" s="32"/>
      <c r="G417" s="333" t="s">
        <v>550</v>
      </c>
    </row>
    <row r="418" spans="1:7" ht="14.25" customHeight="1">
      <c r="A418" s="18"/>
      <c r="B418" s="176"/>
      <c r="C418" s="458" t="s">
        <v>264</v>
      </c>
      <c r="D418" s="459"/>
      <c r="E418" s="223">
        <v>0</v>
      </c>
      <c r="F418" s="32"/>
      <c r="G418" s="216"/>
    </row>
    <row r="419" spans="1:7" ht="15.75" thickBot="1">
      <c r="A419" s="18"/>
      <c r="B419" s="176"/>
      <c r="C419" s="480" t="s">
        <v>676</v>
      </c>
      <c r="D419" s="481"/>
      <c r="E419" s="221">
        <f>IF(E418&lt;1,1,IF(E418&lt;=4,E418,4))</f>
        <v>1</v>
      </c>
      <c r="F419" s="366"/>
      <c r="G419" s="216"/>
    </row>
    <row r="420" spans="1:7" ht="15.75" thickBot="1">
      <c r="A420" s="18"/>
      <c r="B420" s="176"/>
      <c r="E420" s="10"/>
      <c r="F420" s="32"/>
      <c r="G420" s="216"/>
    </row>
    <row r="421" spans="1:7" ht="28.5" customHeight="1" thickBot="1">
      <c r="A421" s="191">
        <v>91</v>
      </c>
      <c r="B421" s="192" t="s">
        <v>455</v>
      </c>
      <c r="C421" s="442" t="s">
        <v>456</v>
      </c>
      <c r="D421" s="443"/>
      <c r="E421" s="243"/>
      <c r="F421" s="32"/>
      <c r="G421" s="333" t="s">
        <v>550</v>
      </c>
    </row>
    <row r="422" spans="1:7" ht="15">
      <c r="A422" s="18"/>
      <c r="B422" s="176"/>
      <c r="C422" s="274" t="s">
        <v>264</v>
      </c>
      <c r="D422" s="51"/>
      <c r="E422" s="223">
        <v>2</v>
      </c>
      <c r="F422" s="32"/>
      <c r="G422" s="216"/>
    </row>
    <row r="423" spans="1:7" ht="15.75" thickBot="1">
      <c r="A423" s="18"/>
      <c r="B423" s="176"/>
      <c r="C423" s="480" t="s">
        <v>678</v>
      </c>
      <c r="D423" s="481"/>
      <c r="E423" s="226">
        <f>IF(E422&lt;0,"Salah Isi",IF(E422&lt;2,2,IF(E422&lt;=4,E422,"Salah Isi")))</f>
        <v>2</v>
      </c>
      <c r="F423" s="32"/>
      <c r="G423" s="216"/>
    </row>
    <row r="424" spans="1:7" ht="15.75" thickBot="1">
      <c r="A424" s="18"/>
      <c r="B424" s="176"/>
      <c r="E424" s="10"/>
      <c r="F424" s="32"/>
      <c r="G424" s="216"/>
    </row>
    <row r="425" spans="1:7" ht="28.5" customHeight="1" thickBot="1">
      <c r="A425" s="191">
        <v>92</v>
      </c>
      <c r="B425" s="192" t="s">
        <v>457</v>
      </c>
      <c r="C425" s="442" t="s">
        <v>533</v>
      </c>
      <c r="D425" s="443"/>
      <c r="E425" s="220">
        <v>0</v>
      </c>
      <c r="F425" s="260"/>
      <c r="G425" s="333" t="s">
        <v>550</v>
      </c>
    </row>
    <row r="426" spans="1:7" ht="15.75" thickBot="1">
      <c r="A426" s="218"/>
      <c r="B426" s="82"/>
      <c r="C426" s="446" t="s">
        <v>140</v>
      </c>
      <c r="D426" s="447"/>
      <c r="E426" s="221">
        <f>IF(E425&gt;=6,4,(2*E425)/3)</f>
        <v>0</v>
      </c>
      <c r="F426" s="264"/>
      <c r="G426" s="216"/>
    </row>
    <row r="427" spans="1:7" ht="15.75" thickBot="1">
      <c r="A427" s="18"/>
      <c r="B427" s="176"/>
      <c r="E427" s="10"/>
      <c r="F427" s="32"/>
      <c r="G427" s="216"/>
    </row>
    <row r="428" spans="1:7" ht="42" customHeight="1" thickBot="1">
      <c r="A428" s="191">
        <v>93</v>
      </c>
      <c r="B428" s="192" t="s">
        <v>47</v>
      </c>
      <c r="C428" s="442" t="s">
        <v>719</v>
      </c>
      <c r="D428" s="443"/>
      <c r="E428" s="243"/>
      <c r="F428" s="32"/>
      <c r="G428" s="333" t="s">
        <v>551</v>
      </c>
    </row>
    <row r="429" spans="1:7" ht="31.5" customHeight="1">
      <c r="A429" s="18"/>
      <c r="B429" s="176"/>
      <c r="C429" s="464" t="s">
        <v>709</v>
      </c>
      <c r="D429" s="465"/>
      <c r="E429" s="223">
        <v>1</v>
      </c>
      <c r="F429" s="32"/>
      <c r="G429" s="216"/>
    </row>
    <row r="430" spans="1:7" ht="15.75" thickBot="1">
      <c r="A430" s="218"/>
      <c r="B430" s="82"/>
      <c r="C430" s="446" t="s">
        <v>140</v>
      </c>
      <c r="D430" s="447"/>
      <c r="E430" s="221">
        <f>IF((E407+E411+E415+E419+E423+E426)/6&gt;=3,4,IF(E429&lt;1,"Salah Isi",IF(E429&lt;=4,E429,"Salah Isi")))</f>
        <v>1</v>
      </c>
      <c r="F430" s="260"/>
      <c r="G430" s="216"/>
    </row>
    <row r="431" spans="1:7" ht="15.75" thickBot="1">
      <c r="A431" s="18"/>
      <c r="B431" s="176"/>
      <c r="E431" s="10"/>
      <c r="F431" s="32"/>
      <c r="G431" s="216"/>
    </row>
    <row r="432" spans="1:7" ht="67.5" customHeight="1" thickBot="1">
      <c r="A432" s="191">
        <v>94</v>
      </c>
      <c r="B432" s="192" t="s">
        <v>49</v>
      </c>
      <c r="C432" s="466" t="s">
        <v>458</v>
      </c>
      <c r="D432" s="467"/>
      <c r="E432" s="220">
        <v>2</v>
      </c>
      <c r="F432" s="32"/>
      <c r="G432" s="333" t="s">
        <v>552</v>
      </c>
    </row>
    <row r="433" spans="1:7" ht="15.75" thickBot="1">
      <c r="A433" s="18"/>
      <c r="B433" s="176"/>
      <c r="C433" s="444" t="s">
        <v>140</v>
      </c>
      <c r="D433" s="445"/>
      <c r="E433" s="221">
        <f>IF(E432&lt;0,"Salah Isi",IF(E432&lt;=4,E432,"Salah Isi"))</f>
        <v>2</v>
      </c>
      <c r="F433" s="32"/>
      <c r="G433" s="216"/>
    </row>
    <row r="434" spans="1:7" ht="15.75" thickBot="1">
      <c r="A434" s="18"/>
      <c r="B434" s="176"/>
      <c r="E434" s="10"/>
      <c r="F434" s="32"/>
      <c r="G434" s="216"/>
    </row>
    <row r="435" spans="1:7" ht="54" customHeight="1" thickBot="1">
      <c r="A435" s="191">
        <v>95</v>
      </c>
      <c r="B435" s="192" t="s">
        <v>50</v>
      </c>
      <c r="C435" s="454" t="s">
        <v>710</v>
      </c>
      <c r="D435" s="455"/>
      <c r="E435" s="220">
        <v>0</v>
      </c>
      <c r="F435" s="32"/>
      <c r="G435" s="333" t="s">
        <v>553</v>
      </c>
    </row>
    <row r="436" spans="1:7" ht="15.75" thickBot="1">
      <c r="A436" s="18"/>
      <c r="B436" s="176"/>
      <c r="C436" s="444" t="s">
        <v>140</v>
      </c>
      <c r="D436" s="445"/>
      <c r="E436" s="221">
        <f>IF(E435&lt;0,"Salah Isi",IF(E435&lt;1,1,IF(E435&lt;=4,E435,"Salah Isi")))</f>
        <v>1</v>
      </c>
      <c r="F436" s="32"/>
      <c r="G436" s="216"/>
    </row>
    <row r="437" spans="1:7" ht="15.75" thickBot="1">
      <c r="A437" s="18"/>
      <c r="B437" s="176"/>
      <c r="E437" s="10"/>
      <c r="F437" s="32"/>
      <c r="G437" s="216"/>
    </row>
    <row r="438" spans="1:17" s="29" customFormat="1" ht="16.5" customHeight="1" thickBot="1">
      <c r="A438" s="191">
        <v>96</v>
      </c>
      <c r="B438" s="192" t="s">
        <v>51</v>
      </c>
      <c r="C438" s="442" t="s">
        <v>52</v>
      </c>
      <c r="D438" s="443"/>
      <c r="E438" s="243"/>
      <c r="F438" s="32"/>
      <c r="G438" s="333" t="s">
        <v>554</v>
      </c>
      <c r="H438" s="5"/>
      <c r="M438" s="17"/>
      <c r="N438" s="17"/>
      <c r="O438" s="17"/>
      <c r="P438" s="17"/>
      <c r="Q438" s="17"/>
    </row>
    <row r="439" spans="1:7" ht="15">
      <c r="A439" s="218"/>
      <c r="B439" s="82"/>
      <c r="C439" s="217" t="s">
        <v>266</v>
      </c>
      <c r="D439" s="84"/>
      <c r="E439" s="223">
        <v>11</v>
      </c>
      <c r="F439" s="260"/>
      <c r="G439" s="216"/>
    </row>
    <row r="440" spans="1:7" ht="17.25" customHeight="1">
      <c r="A440" s="218"/>
      <c r="B440" s="82"/>
      <c r="C440" s="468" t="s">
        <v>267</v>
      </c>
      <c r="D440" s="469"/>
      <c r="E440" s="223"/>
      <c r="F440" s="260"/>
      <c r="G440" s="216"/>
    </row>
    <row r="441" spans="1:7" ht="15">
      <c r="A441" s="218"/>
      <c r="B441" s="82"/>
      <c r="C441" s="217" t="s">
        <v>268</v>
      </c>
      <c r="D441" s="84"/>
      <c r="E441" s="223"/>
      <c r="F441" s="260"/>
      <c r="G441" s="216"/>
    </row>
    <row r="442" spans="1:7" ht="19.5" customHeight="1">
      <c r="A442" s="218"/>
      <c r="B442" s="82"/>
      <c r="C442" s="468" t="s">
        <v>269</v>
      </c>
      <c r="D442" s="469"/>
      <c r="E442" s="223"/>
      <c r="F442" s="260"/>
      <c r="G442" s="216"/>
    </row>
    <row r="443" spans="1:7" ht="15">
      <c r="A443" s="218"/>
      <c r="B443" s="82"/>
      <c r="C443" s="252" t="s">
        <v>264</v>
      </c>
      <c r="D443" s="84"/>
      <c r="E443" s="224">
        <f>IF(E439+E440+E441+E442&gt;11,"Salah Isi",(E439+2*E440+3*E441+4*E442)/11)</f>
        <v>1</v>
      </c>
      <c r="F443" s="260"/>
      <c r="G443" s="216"/>
    </row>
    <row r="444" spans="1:7" ht="15.75" thickBot="1">
      <c r="A444" s="218"/>
      <c r="B444" s="82"/>
      <c r="C444" s="253" t="s">
        <v>140</v>
      </c>
      <c r="D444" s="250"/>
      <c r="E444" s="221">
        <f>E443</f>
        <v>1</v>
      </c>
      <c r="F444" s="260"/>
      <c r="G444" s="216"/>
    </row>
    <row r="445" spans="1:7" ht="15">
      <c r="A445" s="218"/>
      <c r="B445" s="82"/>
      <c r="C445" s="201" t="s">
        <v>265</v>
      </c>
      <c r="D445" s="89"/>
      <c r="E445" s="163"/>
      <c r="F445" s="260"/>
      <c r="G445" s="216"/>
    </row>
    <row r="446" spans="1:7" ht="15.75" thickBot="1">
      <c r="A446" s="218"/>
      <c r="B446" s="82"/>
      <c r="C446" s="78"/>
      <c r="D446" s="78"/>
      <c r="E446" s="163"/>
      <c r="F446" s="260"/>
      <c r="G446" s="216"/>
    </row>
    <row r="447" spans="1:17" s="29" customFormat="1" ht="54" customHeight="1" thickBot="1">
      <c r="A447" s="191">
        <v>97</v>
      </c>
      <c r="B447" s="192" t="s">
        <v>53</v>
      </c>
      <c r="C447" s="442" t="s">
        <v>460</v>
      </c>
      <c r="D447" s="443"/>
      <c r="E447" s="222"/>
      <c r="F447" s="260"/>
      <c r="G447" s="333" t="s">
        <v>528</v>
      </c>
      <c r="H447" s="5"/>
      <c r="M447" s="17"/>
      <c r="N447" s="17"/>
      <c r="O447" s="17"/>
      <c r="P447" s="17"/>
      <c r="Q447" s="17"/>
    </row>
    <row r="448" spans="1:7" ht="21.75" customHeight="1">
      <c r="A448" s="218"/>
      <c r="B448" s="82"/>
      <c r="C448" s="436" t="s">
        <v>158</v>
      </c>
      <c r="D448" s="367" t="s">
        <v>270</v>
      </c>
      <c r="E448" s="223">
        <v>0</v>
      </c>
      <c r="F448" s="260"/>
      <c r="G448" s="216"/>
    </row>
    <row r="449" spans="1:7" ht="30.75" customHeight="1">
      <c r="A449" s="218"/>
      <c r="B449" s="82"/>
      <c r="C449" s="436" t="s">
        <v>159</v>
      </c>
      <c r="D449" s="367" t="s">
        <v>271</v>
      </c>
      <c r="E449" s="223">
        <v>0</v>
      </c>
      <c r="F449" s="260"/>
      <c r="G449" s="216"/>
    </row>
    <row r="450" spans="1:7" ht="30.75" customHeight="1">
      <c r="A450" s="218"/>
      <c r="B450" s="82"/>
      <c r="C450" s="436" t="s">
        <v>160</v>
      </c>
      <c r="D450" s="367" t="s">
        <v>272</v>
      </c>
      <c r="E450" s="223">
        <v>0</v>
      </c>
      <c r="F450" s="260"/>
      <c r="G450" s="216"/>
    </row>
    <row r="451" spans="1:7" ht="31.5" customHeight="1">
      <c r="A451" s="218"/>
      <c r="B451" s="82"/>
      <c r="C451" s="436" t="s">
        <v>141</v>
      </c>
      <c r="D451" s="367" t="s">
        <v>273</v>
      </c>
      <c r="E451" s="223">
        <v>1</v>
      </c>
      <c r="F451" s="260"/>
      <c r="G451" s="216"/>
    </row>
    <row r="452" spans="1:7" ht="15">
      <c r="A452" s="218"/>
      <c r="B452" s="82"/>
      <c r="C452" s="311" t="s">
        <v>161</v>
      </c>
      <c r="D452" s="308"/>
      <c r="E452" s="224">
        <f>((4*E448)+(2*E449)+(E450))/E451</f>
        <v>0</v>
      </c>
      <c r="F452" s="260"/>
      <c r="G452" s="216"/>
    </row>
    <row r="453" spans="1:7" ht="15.75" thickBot="1">
      <c r="A453" s="218"/>
      <c r="B453" s="82"/>
      <c r="C453" s="359" t="s">
        <v>140</v>
      </c>
      <c r="D453" s="360"/>
      <c r="E453" s="221">
        <f>IF(E452=0,0,IF(E452&lt;1,3*E452+1,4))</f>
        <v>0</v>
      </c>
      <c r="F453" s="260"/>
      <c r="G453" s="216"/>
    </row>
    <row r="454" spans="1:7" ht="15.75" thickBot="1">
      <c r="A454" s="218"/>
      <c r="B454" s="82"/>
      <c r="C454" s="78"/>
      <c r="D454" s="78"/>
      <c r="E454" s="163"/>
      <c r="F454" s="260"/>
      <c r="G454" s="216"/>
    </row>
    <row r="455" spans="1:7" ht="42.75" customHeight="1" thickBot="1">
      <c r="A455" s="191">
        <v>98</v>
      </c>
      <c r="B455" s="192" t="s">
        <v>54</v>
      </c>
      <c r="C455" s="442" t="s">
        <v>461</v>
      </c>
      <c r="D455" s="443"/>
      <c r="E455" s="222"/>
      <c r="F455" s="260"/>
      <c r="G455" s="333" t="s">
        <v>528</v>
      </c>
    </row>
    <row r="456" spans="1:7" ht="39">
      <c r="A456" s="218"/>
      <c r="B456" s="82"/>
      <c r="C456" s="436" t="s">
        <v>158</v>
      </c>
      <c r="D456" s="368" t="s">
        <v>720</v>
      </c>
      <c r="E456" s="223">
        <v>0</v>
      </c>
      <c r="F456" s="260"/>
      <c r="G456" s="216"/>
    </row>
    <row r="457" spans="1:7" ht="39">
      <c r="A457" s="218"/>
      <c r="B457" s="82"/>
      <c r="C457" s="436" t="s">
        <v>159</v>
      </c>
      <c r="D457" s="368" t="s">
        <v>721</v>
      </c>
      <c r="E457" s="223">
        <v>0</v>
      </c>
      <c r="F457" s="260"/>
      <c r="G457" s="216"/>
    </row>
    <row r="458" spans="1:7" ht="53.25" customHeight="1">
      <c r="A458" s="218"/>
      <c r="B458" s="82"/>
      <c r="C458" s="436" t="s">
        <v>160</v>
      </c>
      <c r="D458" s="437" t="s">
        <v>722</v>
      </c>
      <c r="E458" s="223">
        <v>0.5</v>
      </c>
      <c r="F458" s="260"/>
      <c r="G458" s="216"/>
    </row>
    <row r="459" spans="1:7" ht="30.75" customHeight="1">
      <c r="A459" s="218"/>
      <c r="B459" s="82"/>
      <c r="C459" s="436" t="s">
        <v>141</v>
      </c>
      <c r="D459" s="368" t="s">
        <v>273</v>
      </c>
      <c r="E459" s="223">
        <v>1</v>
      </c>
      <c r="F459" s="260"/>
      <c r="G459" s="216"/>
    </row>
    <row r="460" spans="1:7" ht="15">
      <c r="A460" s="218"/>
      <c r="B460" s="82"/>
      <c r="C460" s="195" t="s">
        <v>161</v>
      </c>
      <c r="D460" s="196"/>
      <c r="E460" s="224">
        <f>((4*E456)+(2*E457)+(E458))/E459</f>
        <v>0.5</v>
      </c>
      <c r="F460" s="260"/>
      <c r="G460" s="216"/>
    </row>
    <row r="461" spans="1:7" ht="15.75" thickBot="1">
      <c r="A461" s="218"/>
      <c r="B461" s="82"/>
      <c r="C461" s="211" t="s">
        <v>140</v>
      </c>
      <c r="D461" s="212"/>
      <c r="E461" s="221">
        <f>IF(E460=0,0,IF(E460&lt;3,E460+1,4))</f>
        <v>1.5</v>
      </c>
      <c r="F461" s="260"/>
      <c r="G461" s="216"/>
    </row>
    <row r="462" spans="1:7" ht="15.75" thickBot="1">
      <c r="A462" s="18"/>
      <c r="B462" s="176"/>
      <c r="E462" s="10"/>
      <c r="F462" s="32"/>
      <c r="G462" s="216"/>
    </row>
    <row r="463" spans="1:7" ht="66.75" customHeight="1" thickBot="1">
      <c r="A463" s="191">
        <v>99</v>
      </c>
      <c r="B463" s="192" t="s">
        <v>55</v>
      </c>
      <c r="C463" s="472" t="s">
        <v>462</v>
      </c>
      <c r="D463" s="473"/>
      <c r="E463" s="243"/>
      <c r="F463" s="32"/>
      <c r="G463" s="333" t="s">
        <v>555</v>
      </c>
    </row>
    <row r="464" spans="1:7" ht="15">
      <c r="A464" s="218"/>
      <c r="B464" s="82"/>
      <c r="C464" s="217" t="s">
        <v>324</v>
      </c>
      <c r="D464" s="84"/>
      <c r="E464" s="223">
        <v>0</v>
      </c>
      <c r="F464" s="260"/>
      <c r="G464" s="216"/>
    </row>
    <row r="465" spans="1:7" ht="15.75" thickBot="1">
      <c r="A465" s="18"/>
      <c r="B465" s="176"/>
      <c r="C465" s="253" t="s">
        <v>678</v>
      </c>
      <c r="D465" s="219"/>
      <c r="E465" s="226">
        <f>IF(E464&lt;0,"Salah Isi",IF(E464&lt;1,2,IF(E464&lt;2,3,4)))</f>
        <v>2</v>
      </c>
      <c r="F465" s="32"/>
      <c r="G465" s="216"/>
    </row>
    <row r="466" spans="1:7" ht="15.75" thickBot="1">
      <c r="A466" s="18"/>
      <c r="B466" s="176"/>
      <c r="E466" s="10"/>
      <c r="F466" s="32"/>
      <c r="G466" s="216"/>
    </row>
    <row r="467" spans="1:17" s="29" customFormat="1" ht="57" customHeight="1" thickBot="1">
      <c r="A467" s="191">
        <v>100</v>
      </c>
      <c r="B467" s="192" t="s">
        <v>56</v>
      </c>
      <c r="C467" s="442" t="s">
        <v>463</v>
      </c>
      <c r="D467" s="443"/>
      <c r="E467" s="243"/>
      <c r="F467" s="32"/>
      <c r="G467" s="333" t="s">
        <v>528</v>
      </c>
      <c r="H467" s="5"/>
      <c r="M467" s="17"/>
      <c r="N467" s="17"/>
      <c r="O467" s="17"/>
      <c r="P467" s="17"/>
      <c r="Q467" s="17"/>
    </row>
    <row r="468" spans="1:7" ht="28.5" customHeight="1">
      <c r="A468" s="218"/>
      <c r="B468" s="82"/>
      <c r="C468" s="436" t="s">
        <v>158</v>
      </c>
      <c r="D468" s="367" t="s">
        <v>275</v>
      </c>
      <c r="E468" s="223">
        <v>0</v>
      </c>
      <c r="F468" s="260"/>
      <c r="G468" s="216"/>
    </row>
    <row r="469" spans="1:7" ht="28.5" customHeight="1">
      <c r="A469" s="218"/>
      <c r="B469" s="82"/>
      <c r="C469" s="436" t="s">
        <v>159</v>
      </c>
      <c r="D469" s="367" t="s">
        <v>276</v>
      </c>
      <c r="E469" s="223">
        <v>0</v>
      </c>
      <c r="F469" s="260"/>
      <c r="G469" s="216"/>
    </row>
    <row r="470" spans="1:7" ht="31.5" customHeight="1">
      <c r="A470" s="218"/>
      <c r="B470" s="82"/>
      <c r="C470" s="436" t="s">
        <v>160</v>
      </c>
      <c r="D470" s="367" t="s">
        <v>277</v>
      </c>
      <c r="E470" s="223">
        <v>0.5</v>
      </c>
      <c r="F470" s="260"/>
      <c r="G470" s="216"/>
    </row>
    <row r="471" spans="1:7" ht="27" customHeight="1">
      <c r="A471" s="218"/>
      <c r="B471" s="82"/>
      <c r="C471" s="436" t="s">
        <v>141</v>
      </c>
      <c r="D471" s="367" t="s">
        <v>273</v>
      </c>
      <c r="E471" s="223">
        <v>1</v>
      </c>
      <c r="F471" s="260"/>
      <c r="G471" s="216"/>
    </row>
    <row r="472" spans="1:7" ht="15">
      <c r="A472" s="218"/>
      <c r="B472" s="82"/>
      <c r="C472" s="195" t="s">
        <v>161</v>
      </c>
      <c r="D472" s="196"/>
      <c r="E472" s="224">
        <f>((4*E468)+(2*E469)+(E470))/E471</f>
        <v>0.5</v>
      </c>
      <c r="F472" s="260"/>
      <c r="G472" s="216"/>
    </row>
    <row r="473" spans="1:7" ht="15.75" thickBot="1">
      <c r="A473" s="218"/>
      <c r="B473" s="82"/>
      <c r="C473" s="211" t="s">
        <v>136</v>
      </c>
      <c r="D473" s="212"/>
      <c r="E473" s="221">
        <f>IF(E472=0,0,IF(E472&lt;2,1+(1.5*E472),4))</f>
        <v>1.75</v>
      </c>
      <c r="F473" s="260"/>
      <c r="G473" s="216"/>
    </row>
    <row r="474" spans="1:7" ht="15.75" thickBot="1">
      <c r="A474" s="18"/>
      <c r="B474" s="176"/>
      <c r="E474" s="10"/>
      <c r="F474" s="32"/>
      <c r="G474" s="216"/>
    </row>
    <row r="475" spans="1:7" ht="30.75" customHeight="1" thickBot="1">
      <c r="A475" s="191">
        <v>101</v>
      </c>
      <c r="B475" s="192" t="s">
        <v>57</v>
      </c>
      <c r="C475" s="442" t="s">
        <v>464</v>
      </c>
      <c r="D475" s="443"/>
      <c r="E475" s="220">
        <v>2</v>
      </c>
      <c r="F475" s="32"/>
      <c r="G475" s="333" t="s">
        <v>539</v>
      </c>
    </row>
    <row r="476" spans="1:7" ht="15.75" thickBot="1">
      <c r="A476" s="18"/>
      <c r="B476" s="176"/>
      <c r="C476" s="444" t="s">
        <v>140</v>
      </c>
      <c r="D476" s="445"/>
      <c r="E476" s="221">
        <f>IF(E475&lt;0,"Salah Isi",IF(E475&lt;=4,E475,"Salah Isi"))</f>
        <v>2</v>
      </c>
      <c r="F476" s="32"/>
      <c r="G476" s="216"/>
    </row>
    <row r="477" spans="1:7" ht="15.75" thickBot="1">
      <c r="A477" s="18"/>
      <c r="B477" s="176"/>
      <c r="E477" s="10"/>
      <c r="F477" s="32"/>
      <c r="G477" s="216"/>
    </row>
    <row r="478" spans="1:7" ht="30" customHeight="1" thickBot="1">
      <c r="A478" s="191">
        <v>102</v>
      </c>
      <c r="B478" s="192" t="s">
        <v>58</v>
      </c>
      <c r="C478" s="442" t="s">
        <v>59</v>
      </c>
      <c r="D478" s="443"/>
      <c r="E478" s="220">
        <v>3</v>
      </c>
      <c r="F478" s="32"/>
      <c r="G478" s="333" t="s">
        <v>504</v>
      </c>
    </row>
    <row r="479" spans="1:7" ht="15.75" thickBot="1">
      <c r="A479" s="18"/>
      <c r="B479" s="176"/>
      <c r="C479" s="444" t="s">
        <v>140</v>
      </c>
      <c r="D479" s="445"/>
      <c r="E479" s="221">
        <f>IF(E478&lt;0,"Salah Isi",IF(E478&lt;=4,E478,"Salah Isi"))</f>
        <v>3</v>
      </c>
      <c r="F479" s="32"/>
      <c r="G479" s="216"/>
    </row>
    <row r="480" spans="1:7" ht="15.75" thickBot="1">
      <c r="A480" s="18"/>
      <c r="B480" s="176"/>
      <c r="E480" s="10"/>
      <c r="F480" s="32"/>
      <c r="G480" s="216"/>
    </row>
    <row r="481" spans="1:7" ht="30" customHeight="1" thickBot="1">
      <c r="A481" s="191">
        <v>103</v>
      </c>
      <c r="B481" s="192" t="s">
        <v>60</v>
      </c>
      <c r="C481" s="442" t="s">
        <v>61</v>
      </c>
      <c r="D481" s="443"/>
      <c r="E481" s="236"/>
      <c r="F481" s="32"/>
      <c r="G481" s="333" t="s">
        <v>504</v>
      </c>
    </row>
    <row r="482" spans="1:17" s="29" customFormat="1" ht="15.75" customHeight="1">
      <c r="A482" s="191"/>
      <c r="B482" s="192"/>
      <c r="C482" s="470" t="s">
        <v>680</v>
      </c>
      <c r="D482" s="471"/>
      <c r="E482" s="432">
        <v>2</v>
      </c>
      <c r="F482" s="32"/>
      <c r="G482" s="433"/>
      <c r="H482" s="5"/>
      <c r="M482" s="17"/>
      <c r="N482" s="17"/>
      <c r="O482" s="17"/>
      <c r="P482" s="17"/>
      <c r="Q482" s="17"/>
    </row>
    <row r="483" spans="1:7" ht="15.75" thickBot="1">
      <c r="A483" s="176"/>
      <c r="B483" s="176"/>
      <c r="C483" s="444" t="s">
        <v>140</v>
      </c>
      <c r="D483" s="445"/>
      <c r="E483" s="221">
        <f>IF(E482&lt;0,"Salah Isi",IF(E482&lt;2,2,IF(E482&lt;=4,E482,"Salah Isi")))</f>
        <v>2</v>
      </c>
      <c r="F483" s="32"/>
      <c r="G483" s="216"/>
    </row>
    <row r="484" spans="1:5" ht="15">
      <c r="A484" s="176"/>
      <c r="E484" s="10"/>
    </row>
    <row r="485" spans="1:5" ht="15">
      <c r="A485" s="176"/>
      <c r="E485" s="10"/>
    </row>
    <row r="486" spans="1:5" ht="15">
      <c r="A486" s="176"/>
      <c r="E486" s="10"/>
    </row>
    <row r="487" spans="1:5" ht="15">
      <c r="A487" s="176"/>
      <c r="E487" s="10"/>
    </row>
    <row r="488" spans="1:5" ht="15">
      <c r="A488" s="176"/>
      <c r="E488" s="10"/>
    </row>
    <row r="489" spans="1:5" ht="15">
      <c r="A489" s="176"/>
      <c r="E489" s="10"/>
    </row>
    <row r="490" spans="1:5" ht="15">
      <c r="A490" s="176"/>
      <c r="E490" s="10"/>
    </row>
    <row r="491" spans="1:5" ht="15">
      <c r="A491" s="176"/>
      <c r="E491" s="10"/>
    </row>
    <row r="492" ht="15">
      <c r="A492" s="176"/>
    </row>
    <row r="493" ht="15">
      <c r="A493" s="176"/>
    </row>
    <row r="494" ht="15">
      <c r="A494" s="176"/>
    </row>
    <row r="495" ht="15">
      <c r="A495" s="176"/>
    </row>
    <row r="496" spans="1:6" ht="15">
      <c r="A496" s="82"/>
      <c r="B496" s="81"/>
      <c r="C496" s="78"/>
      <c r="D496" s="78"/>
      <c r="E496" s="78"/>
      <c r="F496" s="78"/>
    </row>
    <row r="497" ht="15">
      <c r="A497" s="176"/>
    </row>
    <row r="498" ht="15">
      <c r="A498" s="176"/>
    </row>
    <row r="499" ht="15">
      <c r="A499" s="176"/>
    </row>
    <row r="500" ht="15">
      <c r="A500" s="176"/>
    </row>
    <row r="501" ht="15">
      <c r="A501" s="176"/>
    </row>
    <row r="502" ht="15">
      <c r="A502" s="176"/>
    </row>
    <row r="503" spans="1:6" ht="15">
      <c r="A503" s="82"/>
      <c r="B503" s="81"/>
      <c r="C503" s="78"/>
      <c r="D503" s="78"/>
      <c r="E503" s="78"/>
      <c r="F503" s="78"/>
    </row>
  </sheetData>
  <sheetProtection password="C5FE" sheet="1" objects="1" scenarios="1" selectLockedCells="1"/>
  <mergeCells count="248">
    <mergeCell ref="C346:D346"/>
    <mergeCell ref="C345:D345"/>
    <mergeCell ref="C348:D348"/>
    <mergeCell ref="C349:D349"/>
    <mergeCell ref="C358:D358"/>
    <mergeCell ref="C372:D372"/>
    <mergeCell ref="C351:D351"/>
    <mergeCell ref="C360:D360"/>
    <mergeCell ref="C327:D327"/>
    <mergeCell ref="C330:D330"/>
    <mergeCell ref="C333:D333"/>
    <mergeCell ref="C336:D336"/>
    <mergeCell ref="C339:D339"/>
    <mergeCell ref="C342:D342"/>
    <mergeCell ref="C337:D337"/>
    <mergeCell ref="C343:D343"/>
    <mergeCell ref="C340:D340"/>
    <mergeCell ref="C393:D393"/>
    <mergeCell ref="C354:D354"/>
    <mergeCell ref="C355:D355"/>
    <mergeCell ref="C356:D356"/>
    <mergeCell ref="C357:D357"/>
    <mergeCell ref="C368:D368"/>
    <mergeCell ref="C377:D377"/>
    <mergeCell ref="C382:D382"/>
    <mergeCell ref="C325:D325"/>
    <mergeCell ref="C291:D291"/>
    <mergeCell ref="C292:D292"/>
    <mergeCell ref="C294:D294"/>
    <mergeCell ref="C295:D295"/>
    <mergeCell ref="C297:D297"/>
    <mergeCell ref="C303:D303"/>
    <mergeCell ref="C306:D306"/>
    <mergeCell ref="C318:D318"/>
    <mergeCell ref="C301:D301"/>
    <mergeCell ref="C289:D289"/>
    <mergeCell ref="C304:D304"/>
    <mergeCell ref="C307:D307"/>
    <mergeCell ref="C324:D324"/>
    <mergeCell ref="C322:D322"/>
    <mergeCell ref="C114:D114"/>
    <mergeCell ref="C288:D288"/>
    <mergeCell ref="C309:D309"/>
    <mergeCell ref="C312:D312"/>
    <mergeCell ref="C313:D313"/>
    <mergeCell ref="C315:D315"/>
    <mergeCell ref="C102:D102"/>
    <mergeCell ref="C103:D103"/>
    <mergeCell ref="C105:D105"/>
    <mergeCell ref="C106:D106"/>
    <mergeCell ref="C109:D109"/>
    <mergeCell ref="C111:D111"/>
    <mergeCell ref="C151:D151"/>
    <mergeCell ref="C132:D132"/>
    <mergeCell ref="C164:D164"/>
    <mergeCell ref="C115:D115"/>
    <mergeCell ref="C118:D118"/>
    <mergeCell ref="C121:D121"/>
    <mergeCell ref="C153:D153"/>
    <mergeCell ref="C123:D123"/>
    <mergeCell ref="C129:D129"/>
    <mergeCell ref="C145:D145"/>
    <mergeCell ref="C126:D126"/>
    <mergeCell ref="C169:D169"/>
    <mergeCell ref="C170:D170"/>
    <mergeCell ref="C147:D147"/>
    <mergeCell ref="C150:D150"/>
    <mergeCell ref="C127:D127"/>
    <mergeCell ref="C157:D157"/>
    <mergeCell ref="C159:D159"/>
    <mergeCell ref="C162:D162"/>
    <mergeCell ref="C142:D142"/>
    <mergeCell ref="C97:D97"/>
    <mergeCell ref="C95:D95"/>
    <mergeCell ref="C96:D96"/>
    <mergeCell ref="C91:D91"/>
    <mergeCell ref="C275:D275"/>
    <mergeCell ref="C286:D286"/>
    <mergeCell ref="C94:D94"/>
    <mergeCell ref="C125:D125"/>
    <mergeCell ref="C117:D117"/>
    <mergeCell ref="C120:D120"/>
    <mergeCell ref="C71:D71"/>
    <mergeCell ref="C74:D74"/>
    <mergeCell ref="C77:D77"/>
    <mergeCell ref="C78:D78"/>
    <mergeCell ref="C80:D80"/>
    <mergeCell ref="C79:D79"/>
    <mergeCell ref="C82:D82"/>
    <mergeCell ref="C85:D85"/>
    <mergeCell ref="C86:D86"/>
    <mergeCell ref="C88:D88"/>
    <mergeCell ref="C93:D93"/>
    <mergeCell ref="C83:D83"/>
    <mergeCell ref="C89:D89"/>
    <mergeCell ref="C92:D92"/>
    <mergeCell ref="C59:D59"/>
    <mergeCell ref="C60:D60"/>
    <mergeCell ref="C65:D65"/>
    <mergeCell ref="C50:D50"/>
    <mergeCell ref="C51:D51"/>
    <mergeCell ref="C41:D41"/>
    <mergeCell ref="C46:D46"/>
    <mergeCell ref="C44:D44"/>
    <mergeCell ref="C45:D45"/>
    <mergeCell ref="C56:D56"/>
    <mergeCell ref="C57:D57"/>
    <mergeCell ref="C68:D68"/>
    <mergeCell ref="C70:D70"/>
    <mergeCell ref="C23:D23"/>
    <mergeCell ref="C26:D26"/>
    <mergeCell ref="C29:D29"/>
    <mergeCell ref="C34:D34"/>
    <mergeCell ref="C35:D35"/>
    <mergeCell ref="C69:D69"/>
    <mergeCell ref="C43:D43"/>
    <mergeCell ref="N36:P36"/>
    <mergeCell ref="C14:D14"/>
    <mergeCell ref="C17:D17"/>
    <mergeCell ref="C28:D28"/>
    <mergeCell ref="C31:D31"/>
    <mergeCell ref="C53:D53"/>
    <mergeCell ref="C49:D49"/>
    <mergeCell ref="C99:D99"/>
    <mergeCell ref="C7:D7"/>
    <mergeCell ref="C10:D10"/>
    <mergeCell ref="C13:D13"/>
    <mergeCell ref="C16:D16"/>
    <mergeCell ref="C19:D19"/>
    <mergeCell ref="C22:D22"/>
    <mergeCell ref="C20:D20"/>
    <mergeCell ref="C58:D58"/>
    <mergeCell ref="C72:D72"/>
    <mergeCell ref="C54:D54"/>
    <mergeCell ref="C39:D39"/>
    <mergeCell ref="C4:D4"/>
    <mergeCell ref="C5:D5"/>
    <mergeCell ref="C8:D8"/>
    <mergeCell ref="C11:D11"/>
    <mergeCell ref="C67:D67"/>
    <mergeCell ref="C100:D100"/>
    <mergeCell ref="C108:D108"/>
    <mergeCell ref="C75:D75"/>
    <mergeCell ref="C47:D47"/>
    <mergeCell ref="A1:E1"/>
    <mergeCell ref="A2:E2"/>
    <mergeCell ref="C3:D3"/>
    <mergeCell ref="C40:D40"/>
    <mergeCell ref="C37:D37"/>
    <mergeCell ref="C186:D186"/>
    <mergeCell ref="C175:D175"/>
    <mergeCell ref="C176:D176"/>
    <mergeCell ref="C182:D182"/>
    <mergeCell ref="C183:D183"/>
    <mergeCell ref="C185:D185"/>
    <mergeCell ref="C180:D180"/>
    <mergeCell ref="C179:D179"/>
    <mergeCell ref="C172:D172"/>
    <mergeCell ref="C166:D166"/>
    <mergeCell ref="C209:D209"/>
    <mergeCell ref="C167:D167"/>
    <mergeCell ref="C154:D154"/>
    <mergeCell ref="C155:D155"/>
    <mergeCell ref="C156:D156"/>
    <mergeCell ref="C202:D202"/>
    <mergeCell ref="C205:D205"/>
    <mergeCell ref="C178:D178"/>
    <mergeCell ref="C235:D235"/>
    <mergeCell ref="C238:D238"/>
    <mergeCell ref="C228:D228"/>
    <mergeCell ref="C246:D246"/>
    <mergeCell ref="C237:D237"/>
    <mergeCell ref="C133:D133"/>
    <mergeCell ref="C216:D216"/>
    <mergeCell ref="C163:D163"/>
    <mergeCell ref="C168:D168"/>
    <mergeCell ref="C206:D206"/>
    <mergeCell ref="C419:D419"/>
    <mergeCell ref="C423:D423"/>
    <mergeCell ref="C426:D426"/>
    <mergeCell ref="C264:D264"/>
    <mergeCell ref="C266:D266"/>
    <mergeCell ref="C220:D220"/>
    <mergeCell ref="C269:D269"/>
    <mergeCell ref="C229:D229"/>
    <mergeCell ref="C418:D418"/>
    <mergeCell ref="C267:D267"/>
    <mergeCell ref="C482:D482"/>
    <mergeCell ref="C463:D463"/>
    <mergeCell ref="C447:D447"/>
    <mergeCell ref="C455:D455"/>
    <mergeCell ref="C401:D401"/>
    <mergeCell ref="C112:D112"/>
    <mergeCell ref="C149:D149"/>
    <mergeCell ref="C188:D188"/>
    <mergeCell ref="C189:D189"/>
    <mergeCell ref="C195:D195"/>
    <mergeCell ref="C483:D483"/>
    <mergeCell ref="C430:D430"/>
    <mergeCell ref="C433:D433"/>
    <mergeCell ref="C436:D436"/>
    <mergeCell ref="C476:D476"/>
    <mergeCell ref="C479:D479"/>
    <mergeCell ref="C481:D481"/>
    <mergeCell ref="C440:D440"/>
    <mergeCell ref="C442:D442"/>
    <mergeCell ref="C438:D438"/>
    <mergeCell ref="C467:D467"/>
    <mergeCell ref="C475:D475"/>
    <mergeCell ref="C478:D478"/>
    <mergeCell ref="C428:D428"/>
    <mergeCell ref="C429:D429"/>
    <mergeCell ref="C432:D432"/>
    <mergeCell ref="C435:D435"/>
    <mergeCell ref="C240:D240"/>
    <mergeCell ref="C241:D241"/>
    <mergeCell ref="C254:D254"/>
    <mergeCell ref="C250:D250"/>
    <mergeCell ref="C260:D260"/>
    <mergeCell ref="C252:D252"/>
    <mergeCell ref="C258:D258"/>
    <mergeCell ref="C248:D248"/>
    <mergeCell ref="C284:D284"/>
    <mergeCell ref="C282:D282"/>
    <mergeCell ref="C280:D280"/>
    <mergeCell ref="C203:D203"/>
    <mergeCell ref="C207:D207"/>
    <mergeCell ref="C218:D218"/>
    <mergeCell ref="C231:D231"/>
    <mergeCell ref="C234:D234"/>
    <mergeCell ref="C274:D274"/>
    <mergeCell ref="C232:D232"/>
    <mergeCell ref="C397:D397"/>
    <mergeCell ref="C398:D398"/>
    <mergeCell ref="C400:D400"/>
    <mergeCell ref="C409:D409"/>
    <mergeCell ref="C413:D413"/>
    <mergeCell ref="C417:D417"/>
    <mergeCell ref="C421:D421"/>
    <mergeCell ref="C425:D425"/>
    <mergeCell ref="C352:D352"/>
    <mergeCell ref="C310:D310"/>
    <mergeCell ref="C316:D316"/>
    <mergeCell ref="C328:D328"/>
    <mergeCell ref="C331:D331"/>
    <mergeCell ref="C334:D334"/>
    <mergeCell ref="C394:D394"/>
    <mergeCell ref="C402:D402"/>
  </mergeCells>
  <printOptions/>
  <pageMargins left="0.7" right="0.7" top="0.75" bottom="0.75" header="0.3" footer="0.3"/>
  <pageSetup fitToHeight="0" fitToWidth="0" horizontalDpi="600" verticalDpi="600" orientation="portrait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D29" sqref="D29"/>
    </sheetView>
  </sheetViews>
  <sheetFormatPr defaultColWidth="9.140625" defaultRowHeight="15"/>
  <cols>
    <col min="1" max="1" width="5.7109375" style="5" customWidth="1"/>
    <col min="2" max="2" width="25.28125" style="20" customWidth="1"/>
    <col min="3" max="3" width="11.7109375" style="10" customWidth="1"/>
    <col min="4" max="4" width="11.7109375" style="5" customWidth="1"/>
    <col min="5" max="5" width="32.7109375" style="10" customWidth="1"/>
    <col min="7" max="7" width="14.28125" style="10" customWidth="1"/>
  </cols>
  <sheetData>
    <row r="1" spans="1:7" ht="18">
      <c r="A1" s="121" t="s">
        <v>70</v>
      </c>
      <c r="B1" s="198"/>
      <c r="C1" s="102"/>
      <c r="D1" s="101"/>
      <c r="E1" s="102"/>
      <c r="F1" s="98"/>
      <c r="G1" s="102"/>
    </row>
    <row r="2" spans="1:7" ht="15.75">
      <c r="A2" s="122"/>
      <c r="B2" s="198"/>
      <c r="C2" s="102"/>
      <c r="D2" s="101"/>
      <c r="E2" s="102"/>
      <c r="F2" s="98"/>
      <c r="G2" s="102"/>
    </row>
    <row r="3" spans="1:7" ht="15.75">
      <c r="A3" s="100" t="s">
        <v>65</v>
      </c>
      <c r="B3" s="198"/>
      <c r="C3" s="102"/>
      <c r="D3" s="101"/>
      <c r="E3" s="102"/>
      <c r="F3" s="98"/>
      <c r="G3" s="102"/>
    </row>
    <row r="4" spans="1:7" ht="15.75">
      <c r="A4" s="103"/>
      <c r="B4" s="198"/>
      <c r="C4" s="102"/>
      <c r="D4" s="101"/>
      <c r="E4" s="102"/>
      <c r="F4" s="98"/>
      <c r="G4" s="102"/>
    </row>
    <row r="5" spans="1:7" ht="19.5" customHeight="1">
      <c r="A5" s="440" t="s">
        <v>66</v>
      </c>
      <c r="B5" s="440"/>
      <c r="C5" s="440"/>
      <c r="D5" s="199" t="str">
        <f>'F 1'!D5</f>
        <v>: ...</v>
      </c>
      <c r="E5" s="102"/>
      <c r="F5" s="98"/>
      <c r="G5" s="102"/>
    </row>
    <row r="6" spans="1:7" ht="22.5" customHeight="1">
      <c r="A6" s="440" t="s">
        <v>67</v>
      </c>
      <c r="B6" s="440"/>
      <c r="C6" s="440"/>
      <c r="D6" s="199" t="str">
        <f>'F 1'!D6</f>
        <v>: ...</v>
      </c>
      <c r="E6" s="102"/>
      <c r="F6" s="98"/>
      <c r="G6" s="102"/>
    </row>
    <row r="7" spans="1:7" ht="27" customHeight="1">
      <c r="A7" s="440" t="s">
        <v>68</v>
      </c>
      <c r="B7" s="440"/>
      <c r="C7" s="440"/>
      <c r="D7" s="199" t="str">
        <f>'F 1'!D7</f>
        <v>: ...</v>
      </c>
      <c r="E7" s="102"/>
      <c r="F7" s="98"/>
      <c r="G7" s="102"/>
    </row>
    <row r="8" spans="1:7" ht="24.75" customHeight="1">
      <c r="A8" s="440" t="s">
        <v>69</v>
      </c>
      <c r="B8" s="440"/>
      <c r="C8" s="440"/>
      <c r="D8" s="199" t="str">
        <f>'F 1'!D8</f>
        <v>: ...</v>
      </c>
      <c r="E8" s="102"/>
      <c r="F8" s="98"/>
      <c r="G8" s="102"/>
    </row>
    <row r="9" spans="1:7" ht="25.5" customHeight="1">
      <c r="A9" s="440" t="s">
        <v>0</v>
      </c>
      <c r="B9" s="440"/>
      <c r="C9" s="440"/>
      <c r="D9" s="199" t="str">
        <f>'F 1'!D9</f>
        <v>: ...</v>
      </c>
      <c r="E9" s="102"/>
      <c r="F9" s="98"/>
      <c r="G9" s="102"/>
    </row>
    <row r="10" spans="1:7" ht="16.5" thickBot="1">
      <c r="A10" s="103"/>
      <c r="B10" s="198"/>
      <c r="C10" s="102"/>
      <c r="D10" s="101"/>
      <c r="E10" s="102"/>
      <c r="F10" s="98"/>
      <c r="G10" s="102"/>
    </row>
    <row r="11" spans="1:7" ht="15.75" customHeight="1">
      <c r="A11" s="547" t="s">
        <v>1</v>
      </c>
      <c r="B11" s="551" t="s">
        <v>3</v>
      </c>
      <c r="C11" s="553" t="s">
        <v>5</v>
      </c>
      <c r="D11" s="547" t="s">
        <v>74</v>
      </c>
      <c r="E11" s="547" t="s">
        <v>557</v>
      </c>
      <c r="F11" s="98"/>
      <c r="G11" s="102"/>
    </row>
    <row r="12" spans="1:7" ht="45.75" thickBot="1">
      <c r="A12" s="548"/>
      <c r="B12" s="552"/>
      <c r="C12" s="554"/>
      <c r="D12" s="548"/>
      <c r="E12" s="548"/>
      <c r="F12" s="98"/>
      <c r="G12" s="147" t="s">
        <v>168</v>
      </c>
    </row>
    <row r="13" spans="1:7" ht="79.5" thickBot="1">
      <c r="A13" s="124">
        <v>1</v>
      </c>
      <c r="B13" s="125" t="s">
        <v>75</v>
      </c>
      <c r="C13" s="142"/>
      <c r="D13" s="127"/>
      <c r="E13" s="126"/>
      <c r="F13" s="98"/>
      <c r="G13" s="148"/>
    </row>
    <row r="14" spans="1:7" ht="126.75" thickBot="1">
      <c r="A14" s="128" t="s">
        <v>76</v>
      </c>
      <c r="B14" s="129" t="s">
        <v>77</v>
      </c>
      <c r="C14" s="143">
        <v>12.5</v>
      </c>
      <c r="D14" s="123">
        <v>4</v>
      </c>
      <c r="E14" s="279" t="s">
        <v>645</v>
      </c>
      <c r="F14" s="98"/>
      <c r="G14" s="148">
        <f>D14*C14</f>
        <v>50</v>
      </c>
    </row>
    <row r="15" spans="1:7" ht="140.25" customHeight="1" thickBot="1">
      <c r="A15" s="128" t="s">
        <v>78</v>
      </c>
      <c r="B15" s="129" t="s">
        <v>79</v>
      </c>
      <c r="C15" s="143">
        <v>12.5</v>
      </c>
      <c r="D15" s="123">
        <v>2</v>
      </c>
      <c r="E15" s="279" t="s">
        <v>645</v>
      </c>
      <c r="F15" s="98"/>
      <c r="G15" s="148">
        <f>D15*C15</f>
        <v>25</v>
      </c>
    </row>
    <row r="16" spans="1:7" ht="95.25" thickBot="1">
      <c r="A16" s="124">
        <v>2</v>
      </c>
      <c r="B16" s="125" t="s">
        <v>80</v>
      </c>
      <c r="C16" s="142"/>
      <c r="D16" s="126"/>
      <c r="E16" s="280"/>
      <c r="F16" s="98"/>
      <c r="G16" s="148"/>
    </row>
    <row r="17" spans="1:7" ht="48.75" customHeight="1" thickBot="1">
      <c r="A17" s="130" t="s">
        <v>76</v>
      </c>
      <c r="B17" s="131" t="s">
        <v>81</v>
      </c>
      <c r="C17" s="144">
        <v>7.5</v>
      </c>
      <c r="D17" s="132">
        <v>3</v>
      </c>
      <c r="E17" s="281" t="s">
        <v>645</v>
      </c>
      <c r="F17" s="98"/>
      <c r="G17" s="148">
        <f>D17*C17</f>
        <v>22.5</v>
      </c>
    </row>
    <row r="18" spans="1:7" ht="79.5" thickBot="1">
      <c r="A18" s="128" t="s">
        <v>78</v>
      </c>
      <c r="B18" s="129" t="s">
        <v>82</v>
      </c>
      <c r="C18" s="143">
        <v>7.5</v>
      </c>
      <c r="D18" s="123">
        <v>3</v>
      </c>
      <c r="E18" s="279" t="s">
        <v>645</v>
      </c>
      <c r="F18" s="98"/>
      <c r="G18" s="148">
        <f>D18*C18</f>
        <v>22.5</v>
      </c>
    </row>
    <row r="19" spans="1:7" ht="54.75" customHeight="1" thickBot="1">
      <c r="A19" s="128" t="s">
        <v>83</v>
      </c>
      <c r="B19" s="129" t="s">
        <v>84</v>
      </c>
      <c r="C19" s="143">
        <v>7.5</v>
      </c>
      <c r="D19" s="123">
        <v>3</v>
      </c>
      <c r="E19" s="279" t="s">
        <v>645</v>
      </c>
      <c r="F19" s="98"/>
      <c r="G19" s="148">
        <f>D19*C19</f>
        <v>22.5</v>
      </c>
    </row>
    <row r="20" spans="1:7" ht="95.25" thickBot="1">
      <c r="A20" s="128" t="s">
        <v>85</v>
      </c>
      <c r="B20" s="129" t="s">
        <v>86</v>
      </c>
      <c r="C20" s="143">
        <v>7.5</v>
      </c>
      <c r="D20" s="123">
        <v>3</v>
      </c>
      <c r="E20" s="279" t="s">
        <v>645</v>
      </c>
      <c r="F20" s="98"/>
      <c r="G20" s="148">
        <f>D20*C20</f>
        <v>22.5</v>
      </c>
    </row>
    <row r="21" spans="1:7" ht="43.5" customHeight="1" thickBot="1">
      <c r="A21" s="124">
        <v>3</v>
      </c>
      <c r="B21" s="125" t="s">
        <v>87</v>
      </c>
      <c r="C21" s="142"/>
      <c r="D21" s="126"/>
      <c r="E21" s="280"/>
      <c r="F21" s="98"/>
      <c r="G21" s="148"/>
    </row>
    <row r="22" spans="1:7" ht="63.75" thickBot="1">
      <c r="A22" s="128" t="s">
        <v>76</v>
      </c>
      <c r="B22" s="129" t="s">
        <v>88</v>
      </c>
      <c r="C22" s="143">
        <v>10</v>
      </c>
      <c r="D22" s="123">
        <v>4</v>
      </c>
      <c r="E22" s="279" t="s">
        <v>645</v>
      </c>
      <c r="F22" s="98"/>
      <c r="G22" s="148">
        <f>D22*C22</f>
        <v>40</v>
      </c>
    </row>
    <row r="23" spans="1:7" ht="63.75" thickBot="1">
      <c r="A23" s="133" t="s">
        <v>78</v>
      </c>
      <c r="B23" s="134" t="s">
        <v>89</v>
      </c>
      <c r="C23" s="145">
        <v>5</v>
      </c>
      <c r="D23" s="381">
        <v>4</v>
      </c>
      <c r="E23" s="282" t="s">
        <v>645</v>
      </c>
      <c r="F23" s="98"/>
      <c r="G23" s="148">
        <f>D23*C23</f>
        <v>20</v>
      </c>
    </row>
    <row r="24" spans="1:7" ht="66.75" customHeight="1" thickBot="1">
      <c r="A24" s="130" t="s">
        <v>83</v>
      </c>
      <c r="B24" s="131" t="s">
        <v>90</v>
      </c>
      <c r="C24" s="144">
        <v>5</v>
      </c>
      <c r="D24" s="132">
        <v>4</v>
      </c>
      <c r="E24" s="281" t="s">
        <v>645</v>
      </c>
      <c r="F24" s="98"/>
      <c r="G24" s="148">
        <f>D24*C24</f>
        <v>20</v>
      </c>
    </row>
    <row r="25" spans="1:7" ht="53.25" customHeight="1" thickBot="1">
      <c r="A25" s="124">
        <v>4</v>
      </c>
      <c r="B25" s="125" t="s">
        <v>91</v>
      </c>
      <c r="C25" s="142"/>
      <c r="D25" s="126"/>
      <c r="E25" s="280"/>
      <c r="F25" s="98"/>
      <c r="G25" s="148"/>
    </row>
    <row r="26" spans="1:7" ht="39" customHeight="1" thickBot="1">
      <c r="A26" s="130" t="s">
        <v>76</v>
      </c>
      <c r="B26" s="131" t="s">
        <v>92</v>
      </c>
      <c r="C26" s="144">
        <v>12.5</v>
      </c>
      <c r="D26" s="132">
        <v>3</v>
      </c>
      <c r="E26" s="281" t="s">
        <v>645</v>
      </c>
      <c r="F26" s="98"/>
      <c r="G26" s="148">
        <f>D26*C26</f>
        <v>37.5</v>
      </c>
    </row>
    <row r="27" spans="1:7" ht="54.75" customHeight="1" thickBot="1">
      <c r="A27" s="130" t="s">
        <v>78</v>
      </c>
      <c r="B27" s="131" t="s">
        <v>93</v>
      </c>
      <c r="C27" s="144">
        <v>12.5</v>
      </c>
      <c r="D27" s="132">
        <v>3</v>
      </c>
      <c r="E27" s="281" t="s">
        <v>645</v>
      </c>
      <c r="F27" s="98"/>
      <c r="G27" s="148">
        <f>D27*C27</f>
        <v>37.5</v>
      </c>
    </row>
    <row r="28" spans="1:7" ht="48" thickBot="1">
      <c r="A28" s="135" t="s">
        <v>94</v>
      </c>
      <c r="B28" s="109"/>
      <c r="C28" s="146">
        <v>100</v>
      </c>
      <c r="D28" s="132"/>
      <c r="E28" s="283"/>
      <c r="F28" s="98"/>
      <c r="G28" s="148">
        <f>SUM(G14:G27)</f>
        <v>320</v>
      </c>
    </row>
    <row r="29" spans="1:7" ht="27" customHeight="1">
      <c r="A29" s="136" t="s">
        <v>556</v>
      </c>
      <c r="B29" s="198"/>
      <c r="C29" s="102"/>
      <c r="D29" s="101"/>
      <c r="E29" s="102"/>
      <c r="F29" s="98"/>
      <c r="G29" s="102"/>
    </row>
    <row r="30" spans="1:7" ht="15" customHeight="1">
      <c r="A30" s="101"/>
      <c r="B30" s="198"/>
      <c r="C30" s="102"/>
      <c r="D30" s="137"/>
      <c r="E30" s="138"/>
      <c r="F30" s="98"/>
      <c r="G30" s="102"/>
    </row>
    <row r="31" spans="1:7" ht="15.75" customHeight="1">
      <c r="A31" s="103"/>
      <c r="B31" s="198"/>
      <c r="C31" s="102"/>
      <c r="D31" s="278" t="str">
        <f>'F 1'!D119</f>
        <v>      …………, …..-……- 2010</v>
      </c>
      <c r="E31" s="102"/>
      <c r="F31" s="102"/>
      <c r="G31" s="102"/>
    </row>
    <row r="32" spans="1:7" ht="23.25" customHeight="1">
      <c r="A32" s="101"/>
      <c r="B32" s="198"/>
      <c r="C32" s="102"/>
      <c r="D32" s="278"/>
      <c r="E32" s="278"/>
      <c r="F32" s="278"/>
      <c r="G32" s="102"/>
    </row>
    <row r="33" spans="1:7" ht="15" customHeight="1">
      <c r="A33" s="103"/>
      <c r="B33" s="198"/>
      <c r="C33" s="102"/>
      <c r="D33" s="278" t="str">
        <f>'F 1'!D121</f>
        <v>Nama Asesor   :</v>
      </c>
      <c r="E33" s="278"/>
      <c r="F33" s="278"/>
      <c r="G33" s="102"/>
    </row>
    <row r="34" spans="1:7" ht="43.5" customHeight="1">
      <c r="A34" s="103"/>
      <c r="B34" s="198"/>
      <c r="C34" s="102"/>
      <c r="D34" s="278"/>
      <c r="E34" s="278"/>
      <c r="F34" s="278"/>
      <c r="G34" s="102"/>
    </row>
    <row r="35" spans="1:7" ht="15" customHeight="1">
      <c r="A35" s="116"/>
      <c r="B35" s="140"/>
      <c r="C35" s="102"/>
      <c r="D35" s="278" t="str">
        <f>'F 1'!D123</f>
        <v>Tanda Tangan :</v>
      </c>
      <c r="E35" s="278"/>
      <c r="F35" s="278"/>
      <c r="G35" s="102"/>
    </row>
    <row r="36" spans="1:7" ht="15.75" customHeight="1">
      <c r="A36" s="116"/>
      <c r="B36" s="140"/>
      <c r="C36" s="102"/>
      <c r="D36" s="278"/>
      <c r="E36" s="278"/>
      <c r="F36" s="278"/>
      <c r="G36" s="102"/>
    </row>
    <row r="37" spans="1:7" ht="15.75" customHeight="1">
      <c r="A37" s="116"/>
      <c r="B37" s="140"/>
      <c r="C37" s="102"/>
      <c r="D37" s="141"/>
      <c r="E37" s="102"/>
      <c r="F37" s="98"/>
      <c r="G37" s="102"/>
    </row>
    <row r="38" spans="1:3" ht="15" customHeight="1">
      <c r="A38" s="22"/>
      <c r="B38" s="22"/>
      <c r="C38" s="45"/>
    </row>
    <row r="39" spans="1:3" ht="15" customHeight="1">
      <c r="A39" s="22"/>
      <c r="B39" s="22"/>
      <c r="C39" s="45"/>
    </row>
    <row r="40" spans="1:7" ht="15">
      <c r="A40" s="22"/>
      <c r="B40" s="22"/>
      <c r="C40" s="45"/>
      <c r="G40" s="52"/>
    </row>
    <row r="41" ht="15.75">
      <c r="A41" s="8"/>
    </row>
    <row r="42" ht="15.75">
      <c r="A42" s="8"/>
    </row>
    <row r="43" spans="1:3" ht="15" customHeight="1">
      <c r="A43" s="549"/>
      <c r="B43" s="550"/>
      <c r="C43" s="439"/>
    </row>
    <row r="44" spans="1:3" ht="15">
      <c r="A44" s="549"/>
      <c r="B44" s="550"/>
      <c r="C44" s="439"/>
    </row>
    <row r="45" spans="1:3" ht="15">
      <c r="A45" s="549"/>
      <c r="B45" s="550"/>
      <c r="C45" s="439"/>
    </row>
    <row r="46" spans="1:3" ht="15" customHeight="1">
      <c r="A46" s="549"/>
      <c r="B46" s="550"/>
      <c r="C46" s="439"/>
    </row>
    <row r="47" spans="1:3" ht="15">
      <c r="A47" s="549"/>
      <c r="B47" s="550"/>
      <c r="C47" s="439"/>
    </row>
    <row r="48" spans="1:3" ht="15">
      <c r="A48" s="549"/>
      <c r="B48" s="550"/>
      <c r="C48" s="439"/>
    </row>
  </sheetData>
  <sheetProtection formatCells="0" formatColumns="0" formatRows="0" selectLockedCells="1"/>
  <mergeCells count="16">
    <mergeCell ref="A8:C8"/>
    <mergeCell ref="A9:C9"/>
    <mergeCell ref="A46:A48"/>
    <mergeCell ref="B46:B48"/>
    <mergeCell ref="C46:C48"/>
    <mergeCell ref="D11:D12"/>
    <mergeCell ref="E11:E12"/>
    <mergeCell ref="A5:C5"/>
    <mergeCell ref="A43:A45"/>
    <mergeCell ref="B43:B45"/>
    <mergeCell ref="C43:C45"/>
    <mergeCell ref="A11:A12"/>
    <mergeCell ref="B11:B12"/>
    <mergeCell ref="C11:C12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421875" style="5" customWidth="1"/>
    <col min="2" max="2" width="11.28125" style="5" customWidth="1"/>
    <col min="3" max="3" width="24.7109375" style="32" customWidth="1"/>
    <col min="4" max="4" width="28.00390625" style="5" customWidth="1"/>
    <col min="5" max="5" width="8.57421875" style="10" customWidth="1"/>
    <col min="6" max="6" width="8.00390625" style="10" customWidth="1"/>
    <col min="8" max="8" width="13.140625" style="0" customWidth="1"/>
  </cols>
  <sheetData>
    <row r="1" spans="1:8" ht="15.75">
      <c r="A1" s="149" t="s">
        <v>96</v>
      </c>
      <c r="B1" s="149"/>
      <c r="C1" s="149"/>
      <c r="D1" s="149"/>
      <c r="E1" s="150"/>
      <c r="F1" s="149"/>
      <c r="G1" s="149"/>
      <c r="H1" s="98"/>
    </row>
    <row r="2" spans="1:8" ht="15.75">
      <c r="A2" s="122"/>
      <c r="B2" s="101"/>
      <c r="C2" s="151"/>
      <c r="D2" s="101"/>
      <c r="E2" s="102"/>
      <c r="F2" s="102"/>
      <c r="G2" s="98"/>
      <c r="H2" s="98"/>
    </row>
    <row r="3" spans="1:8" ht="15.75">
      <c r="A3" s="100" t="s">
        <v>65</v>
      </c>
      <c r="B3" s="101"/>
      <c r="C3" s="151"/>
      <c r="D3" s="101"/>
      <c r="E3" s="102"/>
      <c r="F3" s="102"/>
      <c r="G3" s="98"/>
      <c r="H3" s="98"/>
    </row>
    <row r="4" spans="1:8" ht="15.75">
      <c r="A4" s="103"/>
      <c r="B4" s="101"/>
      <c r="C4" s="151"/>
      <c r="D4" s="101"/>
      <c r="E4" s="102"/>
      <c r="F4" s="102"/>
      <c r="G4" s="98"/>
      <c r="H4" s="98"/>
    </row>
    <row r="5" spans="1:8" ht="15.75">
      <c r="A5" s="440" t="s">
        <v>66</v>
      </c>
      <c r="B5" s="440"/>
      <c r="C5" s="440"/>
      <c r="D5" s="380" t="str">
        <f>'F 1'!D5</f>
        <v>: ...</v>
      </c>
      <c r="E5" s="102"/>
      <c r="F5" s="102"/>
      <c r="G5" s="98"/>
      <c r="H5" s="98"/>
    </row>
    <row r="6" spans="1:8" ht="15.75">
      <c r="A6" s="440" t="s">
        <v>67</v>
      </c>
      <c r="B6" s="440"/>
      <c r="C6" s="440"/>
      <c r="D6" s="380" t="str">
        <f>'F 1'!D6</f>
        <v>: ...</v>
      </c>
      <c r="E6" s="102"/>
      <c r="F6" s="102"/>
      <c r="G6" s="98"/>
      <c r="H6" s="98"/>
    </row>
    <row r="7" spans="1:8" ht="15.75">
      <c r="A7" s="440" t="s">
        <v>68</v>
      </c>
      <c r="B7" s="440"/>
      <c r="C7" s="440"/>
      <c r="D7" s="380" t="str">
        <f>'F 1'!D7</f>
        <v>: ...</v>
      </c>
      <c r="E7" s="102"/>
      <c r="F7" s="102"/>
      <c r="G7" s="98"/>
      <c r="H7" s="98"/>
    </row>
    <row r="8" spans="1:8" ht="15.75">
      <c r="A8" s="440" t="s">
        <v>69</v>
      </c>
      <c r="B8" s="440"/>
      <c r="C8" s="440"/>
      <c r="D8" s="380" t="str">
        <f>'F 1'!D8</f>
        <v>: ...</v>
      </c>
      <c r="E8" s="102"/>
      <c r="F8" s="102"/>
      <c r="G8" s="98"/>
      <c r="H8" s="98"/>
    </row>
    <row r="9" spans="1:8" ht="15.75">
      <c r="A9" s="440" t="s">
        <v>0</v>
      </c>
      <c r="B9" s="440"/>
      <c r="C9" s="440"/>
      <c r="D9" s="380" t="str">
        <f>'F 1'!D9</f>
        <v>: ...</v>
      </c>
      <c r="E9" s="102"/>
      <c r="F9" s="102"/>
      <c r="G9" s="98"/>
      <c r="H9" s="98"/>
    </row>
    <row r="10" spans="1:8" ht="15.75">
      <c r="A10" s="103"/>
      <c r="B10" s="101"/>
      <c r="C10" s="151"/>
      <c r="D10" s="101"/>
      <c r="E10" s="102"/>
      <c r="F10" s="102"/>
      <c r="G10" s="98"/>
      <c r="H10" s="98"/>
    </row>
    <row r="11" spans="1:8" ht="15.75" hidden="1">
      <c r="A11" s="103"/>
      <c r="B11" s="101"/>
      <c r="C11" s="151"/>
      <c r="D11" s="101"/>
      <c r="E11" s="102"/>
      <c r="F11" s="102"/>
      <c r="G11" s="98"/>
      <c r="H11" s="98"/>
    </row>
    <row r="12" spans="1:8" ht="16.5" thickBot="1">
      <c r="A12" s="103"/>
      <c r="B12" s="101"/>
      <c r="C12" s="151"/>
      <c r="D12" s="101"/>
      <c r="E12" s="102"/>
      <c r="F12" s="102"/>
      <c r="G12" s="98"/>
      <c r="H12" s="98"/>
    </row>
    <row r="13" spans="1:10" ht="35.25" customHeight="1" thickBot="1">
      <c r="A13" s="107" t="s">
        <v>1</v>
      </c>
      <c r="B13" s="152" t="s">
        <v>2</v>
      </c>
      <c r="C13" s="153" t="s">
        <v>3</v>
      </c>
      <c r="D13" s="152" t="s">
        <v>559</v>
      </c>
      <c r="E13" s="156" t="s">
        <v>5</v>
      </c>
      <c r="F13" s="107" t="s">
        <v>6</v>
      </c>
      <c r="G13" s="98"/>
      <c r="H13" s="157" t="s">
        <v>168</v>
      </c>
      <c r="I13" s="92"/>
      <c r="J13" s="92"/>
    </row>
    <row r="14" spans="1:8" ht="56.25" customHeight="1" thickBot="1">
      <c r="A14" s="384">
        <v>1</v>
      </c>
      <c r="B14" s="385" t="s">
        <v>97</v>
      </c>
      <c r="C14" s="386" t="s">
        <v>340</v>
      </c>
      <c r="D14" s="281" t="str">
        <f>'hitung F3'!G4</f>
        <v>Kejelasan... </v>
      </c>
      <c r="E14" s="186">
        <v>1.5</v>
      </c>
      <c r="F14" s="305">
        <f>'hitung F3'!E5</f>
        <v>1</v>
      </c>
      <c r="G14" s="98"/>
      <c r="H14" s="120">
        <f>E14*F14</f>
        <v>1.5</v>
      </c>
    </row>
    <row r="15" spans="1:8" ht="64.5" customHeight="1" thickBot="1">
      <c r="A15" s="387">
        <v>2</v>
      </c>
      <c r="B15" s="385" t="s">
        <v>98</v>
      </c>
      <c r="C15" s="388" t="s">
        <v>7</v>
      </c>
      <c r="D15" s="281" t="str">
        <f>'hitung F3'!G7</f>
        <v>Strategi...</v>
      </c>
      <c r="E15" s="186">
        <v>3</v>
      </c>
      <c r="F15" s="305">
        <f>'hitung F3'!E8</f>
        <v>1</v>
      </c>
      <c r="G15" s="98"/>
      <c r="H15" s="120">
        <f aca="true" t="shared" si="0" ref="H15:H59">E15*F15</f>
        <v>3</v>
      </c>
    </row>
    <row r="16" spans="1:8" ht="71.25" customHeight="1" thickBot="1">
      <c r="A16" s="387">
        <v>3</v>
      </c>
      <c r="B16" s="389" t="s">
        <v>311</v>
      </c>
      <c r="C16" s="386" t="s">
        <v>560</v>
      </c>
      <c r="D16" s="281" t="str">
        <f>'hitung F3'!G10</f>
        <v>Tingkat...</v>
      </c>
      <c r="E16" s="186">
        <v>1.5</v>
      </c>
      <c r="F16" s="305">
        <f>'hitung F3'!E11</f>
        <v>1</v>
      </c>
      <c r="G16" s="98"/>
      <c r="H16" s="120">
        <f t="shared" si="0"/>
        <v>1.5</v>
      </c>
    </row>
    <row r="17" spans="1:8" ht="110.25" customHeight="1" thickBot="1">
      <c r="A17" s="387">
        <v>4</v>
      </c>
      <c r="B17" s="389" t="s">
        <v>312</v>
      </c>
      <c r="C17" s="386" t="s">
        <v>611</v>
      </c>
      <c r="D17" s="281" t="str">
        <f>'hitung F3'!G13</f>
        <v>Tata...</v>
      </c>
      <c r="E17" s="186">
        <v>2.307692307692308</v>
      </c>
      <c r="F17" s="305">
        <f>'hitung F3'!E14</f>
        <v>0</v>
      </c>
      <c r="G17" s="98"/>
      <c r="H17" s="120">
        <f t="shared" si="0"/>
        <v>0</v>
      </c>
    </row>
    <row r="18" spans="1:8" ht="26.25" thickBot="1">
      <c r="A18" s="387">
        <v>5</v>
      </c>
      <c r="B18" s="389" t="s">
        <v>313</v>
      </c>
      <c r="C18" s="390" t="s">
        <v>331</v>
      </c>
      <c r="D18" s="281" t="str">
        <f>'hitung F3'!G16</f>
        <v>Efisiensi...</v>
      </c>
      <c r="E18" s="186">
        <v>1.153846153846154</v>
      </c>
      <c r="F18" s="305">
        <f>'hitung F3'!E17</f>
        <v>1</v>
      </c>
      <c r="G18" s="154"/>
      <c r="H18" s="120">
        <f t="shared" si="0"/>
        <v>1.153846153846154</v>
      </c>
    </row>
    <row r="19" spans="1:8" ht="51.75" thickBot="1">
      <c r="A19" s="387">
        <v>6</v>
      </c>
      <c r="B19" s="389" t="s">
        <v>314</v>
      </c>
      <c r="C19" s="386" t="s">
        <v>561</v>
      </c>
      <c r="D19" s="281" t="str">
        <f>'hitung F3'!G19</f>
        <v>Kepemimpinan...</v>
      </c>
      <c r="E19" s="186">
        <v>2.307692307692308</v>
      </c>
      <c r="F19" s="305">
        <f>'hitung F3'!E20</f>
        <v>1</v>
      </c>
      <c r="G19" s="98"/>
      <c r="H19" s="120">
        <f t="shared" si="0"/>
        <v>2.307692307692308</v>
      </c>
    </row>
    <row r="20" spans="1:8" ht="115.5" thickBot="1">
      <c r="A20" s="387">
        <v>7</v>
      </c>
      <c r="B20" s="389" t="s">
        <v>315</v>
      </c>
      <c r="C20" s="390" t="s">
        <v>562</v>
      </c>
      <c r="D20" s="281" t="str">
        <f>'hitung F3'!G22</f>
        <v>Sistem ...</v>
      </c>
      <c r="E20" s="186">
        <v>2.307692307692308</v>
      </c>
      <c r="F20" s="305">
        <f>'hitung F3'!E23</f>
        <v>0</v>
      </c>
      <c r="G20" s="98"/>
      <c r="H20" s="120">
        <f t="shared" si="0"/>
        <v>0</v>
      </c>
    </row>
    <row r="21" spans="1:8" ht="39" thickBot="1">
      <c r="A21" s="387">
        <v>8</v>
      </c>
      <c r="B21" s="385" t="s">
        <v>99</v>
      </c>
      <c r="C21" s="386" t="s">
        <v>100</v>
      </c>
      <c r="D21" s="281" t="str">
        <f>'hitung F3'!G25</f>
        <v>Keberadaan...</v>
      </c>
      <c r="E21" s="186">
        <v>3.4615384615384617</v>
      </c>
      <c r="F21" s="305">
        <f>'hitung F3'!E26</f>
        <v>0</v>
      </c>
      <c r="G21" s="98"/>
      <c r="H21" s="120">
        <f t="shared" si="0"/>
        <v>0</v>
      </c>
    </row>
    <row r="22" spans="1:8" ht="26.25" thickBot="1">
      <c r="A22" s="387">
        <v>9</v>
      </c>
      <c r="B22" s="385" t="s">
        <v>101</v>
      </c>
      <c r="C22" s="386" t="s">
        <v>563</v>
      </c>
      <c r="D22" s="281" t="str">
        <f>'hitung F3'!G28</f>
        <v>Ketersediaan...</v>
      </c>
      <c r="E22" s="186">
        <v>3.4615384615384617</v>
      </c>
      <c r="F22" s="305">
        <f>'hitung F3'!E29</f>
        <v>0</v>
      </c>
      <c r="G22" s="98"/>
      <c r="H22" s="120">
        <f t="shared" si="0"/>
        <v>0</v>
      </c>
    </row>
    <row r="23" spans="1:8" ht="54.75" customHeight="1" thickBot="1">
      <c r="A23" s="387">
        <v>10</v>
      </c>
      <c r="B23" s="385" t="s">
        <v>102</v>
      </c>
      <c r="C23" s="386" t="s">
        <v>564</v>
      </c>
      <c r="D23" s="281" t="str">
        <f>'hitung F3'!G31</f>
        <v>Ketersediaan...</v>
      </c>
      <c r="E23" s="186">
        <v>2.6666666666666665</v>
      </c>
      <c r="F23" s="305">
        <f>'hitung F3'!E32</f>
        <v>0</v>
      </c>
      <c r="G23" s="98"/>
      <c r="H23" s="120">
        <f t="shared" si="0"/>
        <v>0</v>
      </c>
    </row>
    <row r="24" spans="1:8" ht="30" customHeight="1" thickBot="1">
      <c r="A24" s="387">
        <v>11</v>
      </c>
      <c r="B24" s="385" t="s">
        <v>9</v>
      </c>
      <c r="C24" s="390" t="s">
        <v>103</v>
      </c>
      <c r="D24" s="281" t="str">
        <f>'hitung F3'!G34</f>
        <v>Rasio...</v>
      </c>
      <c r="E24" s="186">
        <v>2.6666666666666665</v>
      </c>
      <c r="F24" s="305">
        <f>'hitung F3'!E38</f>
        <v>1</v>
      </c>
      <c r="G24" s="98"/>
      <c r="H24" s="120">
        <f t="shared" si="0"/>
        <v>2.6666666666666665</v>
      </c>
    </row>
    <row r="25" spans="1:8" ht="43.5" customHeight="1" thickBot="1">
      <c r="A25" s="387">
        <v>12</v>
      </c>
      <c r="B25" s="385" t="s">
        <v>10</v>
      </c>
      <c r="C25" s="386" t="s">
        <v>565</v>
      </c>
      <c r="D25" s="281" t="str">
        <f>'hitung F3'!G40</f>
        <v>Tujuan...</v>
      </c>
      <c r="E25" s="186">
        <v>2.6666666666666665</v>
      </c>
      <c r="F25" s="305">
        <f>'hitung F3'!E41</f>
        <v>1</v>
      </c>
      <c r="G25" s="98"/>
      <c r="H25" s="120">
        <f t="shared" si="0"/>
        <v>2.6666666666666665</v>
      </c>
    </row>
    <row r="26" spans="1:8" ht="30.75" customHeight="1" thickBot="1">
      <c r="A26" s="387">
        <v>13</v>
      </c>
      <c r="B26" s="385" t="s">
        <v>566</v>
      </c>
      <c r="C26" s="390" t="s">
        <v>567</v>
      </c>
      <c r="D26" s="281" t="str">
        <f>'hitung F3'!G43</f>
        <v>Rata...</v>
      </c>
      <c r="E26" s="186">
        <v>2.6666666666666665</v>
      </c>
      <c r="F26" s="305">
        <f>'hitung F3'!E47</f>
        <v>1</v>
      </c>
      <c r="G26" s="98"/>
      <c r="H26" s="120">
        <f t="shared" si="0"/>
        <v>2.6666666666666665</v>
      </c>
    </row>
    <row r="27" spans="1:8" ht="24" customHeight="1" thickBot="1">
      <c r="A27" s="387">
        <v>14</v>
      </c>
      <c r="B27" s="385" t="s">
        <v>568</v>
      </c>
      <c r="C27" s="386" t="s">
        <v>569</v>
      </c>
      <c r="D27" s="281" t="str">
        <f>'hitung F3'!G49</f>
        <v>Rata...</v>
      </c>
      <c r="E27" s="186">
        <v>2.6666666666666665</v>
      </c>
      <c r="F27" s="305">
        <f>'hitung F3'!E53</f>
        <v>1</v>
      </c>
      <c r="G27" s="98"/>
      <c r="H27" s="120">
        <f t="shared" si="0"/>
        <v>2.6666666666666665</v>
      </c>
    </row>
    <row r="28" spans="1:8" ht="64.5" thickBot="1">
      <c r="A28" s="387">
        <v>15</v>
      </c>
      <c r="B28" s="385" t="s">
        <v>13</v>
      </c>
      <c r="C28" s="390" t="s">
        <v>104</v>
      </c>
      <c r="D28" s="281" t="str">
        <f>'hitung F3'!G55</f>
        <v>Upaya...</v>
      </c>
      <c r="E28" s="186">
        <v>2.6666666666666665</v>
      </c>
      <c r="F28" s="305">
        <f>'hitung F3'!E56</f>
        <v>2</v>
      </c>
      <c r="G28" s="98"/>
      <c r="H28" s="120">
        <f t="shared" si="0"/>
        <v>5.333333333333333</v>
      </c>
    </row>
    <row r="29" spans="1:8" ht="51.75" thickBot="1">
      <c r="A29" s="387">
        <v>16</v>
      </c>
      <c r="B29" s="385" t="s">
        <v>105</v>
      </c>
      <c r="C29" s="390" t="s">
        <v>570</v>
      </c>
      <c r="D29" s="281" t="str">
        <f>'hitung F3'!G58</f>
        <v>Kecukupan...</v>
      </c>
      <c r="E29" s="186">
        <v>6.909090909090909</v>
      </c>
      <c r="F29" s="305">
        <f>'hitung F3'!E60</f>
        <v>2</v>
      </c>
      <c r="G29" s="98"/>
      <c r="H29" s="120">
        <f t="shared" si="0"/>
        <v>13.818181818181818</v>
      </c>
    </row>
    <row r="30" spans="1:8" ht="15.75" thickBot="1">
      <c r="A30" s="387">
        <v>17</v>
      </c>
      <c r="B30" s="385" t="s">
        <v>571</v>
      </c>
      <c r="C30" s="390" t="s">
        <v>572</v>
      </c>
      <c r="D30" s="281" t="str">
        <f>'hitung F3'!G62</f>
        <v>Dosen...</v>
      </c>
      <c r="E30" s="186">
        <v>3.4545454545454546</v>
      </c>
      <c r="F30" s="305">
        <f>'hitung F3'!E72</f>
        <v>3.125</v>
      </c>
      <c r="G30" s="98"/>
      <c r="H30" s="120">
        <f t="shared" si="0"/>
        <v>10.795454545454545</v>
      </c>
    </row>
    <row r="31" spans="1:8" ht="51.75" thickBot="1">
      <c r="A31" s="387">
        <v>18</v>
      </c>
      <c r="B31" s="385" t="s">
        <v>106</v>
      </c>
      <c r="C31" s="390" t="s">
        <v>573</v>
      </c>
      <c r="D31" s="281" t="str">
        <f>'hitung F3'!G74</f>
        <v>Upaya...</v>
      </c>
      <c r="E31" s="186">
        <v>3.4545454545454546</v>
      </c>
      <c r="F31" s="305">
        <f>'hitung F3'!E75</f>
        <v>2</v>
      </c>
      <c r="G31" s="98"/>
      <c r="H31" s="120">
        <f t="shared" si="0"/>
        <v>6.909090909090909</v>
      </c>
    </row>
    <row r="32" spans="1:8" ht="40.5" customHeight="1" thickBot="1">
      <c r="A32" s="387">
        <v>19</v>
      </c>
      <c r="B32" s="385" t="s">
        <v>332</v>
      </c>
      <c r="C32" s="390" t="s">
        <v>574</v>
      </c>
      <c r="D32" s="281" t="str">
        <f>'hitung F3'!G77</f>
        <v>Kecukupan...</v>
      </c>
      <c r="E32" s="186">
        <v>5.181818181818182</v>
      </c>
      <c r="F32" s="305">
        <f>'hitung F3'!E78</f>
        <v>1</v>
      </c>
      <c r="G32" s="98"/>
      <c r="H32" s="120">
        <f t="shared" si="0"/>
        <v>5.181818181818182</v>
      </c>
    </row>
    <row r="33" spans="1:8" ht="115.5" thickBot="1">
      <c r="A33" s="387">
        <v>20</v>
      </c>
      <c r="B33" s="385" t="s">
        <v>333</v>
      </c>
      <c r="C33" s="386" t="s">
        <v>575</v>
      </c>
      <c r="D33" s="281" t="str">
        <f>'hitung F3'!G80</f>
        <v>Bentuk...</v>
      </c>
      <c r="E33" s="186">
        <v>1.6666666666666665</v>
      </c>
      <c r="F33" s="305">
        <f>'hitung F3'!E81</f>
        <v>1</v>
      </c>
      <c r="G33" s="98"/>
      <c r="H33" s="120">
        <f t="shared" si="0"/>
        <v>1.6666666666666665</v>
      </c>
    </row>
    <row r="34" spans="1:8" ht="90" thickBot="1">
      <c r="A34" s="387">
        <v>21</v>
      </c>
      <c r="B34" s="385" t="s">
        <v>334</v>
      </c>
      <c r="C34" s="386" t="s">
        <v>576</v>
      </c>
      <c r="D34" s="281" t="str">
        <f>'hitung F3'!G83</f>
        <v>Unit...</v>
      </c>
      <c r="E34" s="186">
        <v>1.6666666666666665</v>
      </c>
      <c r="F34" s="305">
        <f>'hitung F3'!E84</f>
        <v>3</v>
      </c>
      <c r="G34" s="98"/>
      <c r="H34" s="120">
        <f t="shared" si="0"/>
        <v>5</v>
      </c>
    </row>
    <row r="35" spans="1:8" ht="51.75" thickBot="1">
      <c r="A35" s="387">
        <v>22</v>
      </c>
      <c r="B35" s="385" t="s">
        <v>287</v>
      </c>
      <c r="C35" s="386" t="s">
        <v>577</v>
      </c>
      <c r="D35" s="281" t="str">
        <f>'hitung F3'!G86</f>
        <v>Dukungan...</v>
      </c>
      <c r="E35" s="186">
        <v>1.6666666666666665</v>
      </c>
      <c r="F35" s="305">
        <f>'hitung F3'!E92</f>
        <v>2.75</v>
      </c>
      <c r="G35" s="98"/>
      <c r="H35" s="120">
        <f t="shared" si="0"/>
        <v>4.583333333333333</v>
      </c>
    </row>
    <row r="36" spans="1:8" ht="51.75" thickBot="1">
      <c r="A36" s="387">
        <v>23</v>
      </c>
      <c r="B36" s="385" t="s">
        <v>578</v>
      </c>
      <c r="C36" s="390" t="s">
        <v>579</v>
      </c>
      <c r="D36" s="281" t="str">
        <f>'hitung F3'!G94</f>
        <v>Persentase...</v>
      </c>
      <c r="E36" s="186">
        <v>1.8620689655172413</v>
      </c>
      <c r="F36" s="305">
        <f>'hitung F3'!E98</f>
        <v>0</v>
      </c>
      <c r="G36" s="98"/>
      <c r="H36" s="120">
        <f t="shared" si="0"/>
        <v>0</v>
      </c>
    </row>
    <row r="37" spans="1:8" ht="33" customHeight="1" thickBot="1">
      <c r="A37" s="387">
        <v>24</v>
      </c>
      <c r="B37" s="385" t="s">
        <v>580</v>
      </c>
      <c r="C37" s="390" t="s">
        <v>445</v>
      </c>
      <c r="D37" s="281" t="str">
        <f>'hitung F3'!G100</f>
        <v>Persentase...</v>
      </c>
      <c r="E37" s="186">
        <v>2.793103448275862</v>
      </c>
      <c r="F37" s="305">
        <f>'hitung F3'!E102</f>
        <v>0</v>
      </c>
      <c r="G37" s="98"/>
      <c r="H37" s="120">
        <f t="shared" si="0"/>
        <v>0</v>
      </c>
    </row>
    <row r="38" spans="1:8" ht="26.25" thickBot="1">
      <c r="A38" s="387">
        <v>25</v>
      </c>
      <c r="B38" s="385" t="s">
        <v>581</v>
      </c>
      <c r="C38" s="390" t="s">
        <v>582</v>
      </c>
      <c r="D38" s="281" t="str">
        <f>'hitung F3'!G104</f>
        <v>Dana ...</v>
      </c>
      <c r="E38" s="186">
        <v>1.8620689655172413</v>
      </c>
      <c r="F38" s="305">
        <f>'hitung F3'!E106</f>
        <v>4</v>
      </c>
      <c r="G38" s="98"/>
      <c r="H38" s="120">
        <f t="shared" si="0"/>
        <v>7.448275862068965</v>
      </c>
    </row>
    <row r="39" spans="1:8" ht="67.5" customHeight="1" thickBot="1">
      <c r="A39" s="387">
        <v>26</v>
      </c>
      <c r="B39" s="385" t="s">
        <v>583</v>
      </c>
      <c r="C39" s="390" t="s">
        <v>584</v>
      </c>
      <c r="D39" s="281" t="str">
        <f>'hitung F3'!G108</f>
        <v>Dana...</v>
      </c>
      <c r="E39" s="186">
        <v>1.8620689655172413</v>
      </c>
      <c r="F39" s="305">
        <f>'hitung F3'!E110</f>
        <v>0</v>
      </c>
      <c r="G39" s="98"/>
      <c r="H39" s="120">
        <f t="shared" si="0"/>
        <v>0</v>
      </c>
    </row>
    <row r="40" spans="1:8" ht="39" thickBot="1">
      <c r="A40" s="387">
        <v>27</v>
      </c>
      <c r="B40" s="385" t="s">
        <v>585</v>
      </c>
      <c r="C40" s="390" t="s">
        <v>586</v>
      </c>
      <c r="D40" s="281" t="str">
        <f>'hitung F3'!G112</f>
        <v>Kecukupan...</v>
      </c>
      <c r="E40" s="186">
        <v>0.9310344827586207</v>
      </c>
      <c r="F40" s="305">
        <f>'hitung F3'!E113</f>
        <v>1</v>
      </c>
      <c r="G40" s="98"/>
      <c r="H40" s="120">
        <f t="shared" si="0"/>
        <v>0.9310344827586207</v>
      </c>
    </row>
    <row r="41" spans="1:8" ht="26.25" thickBot="1">
      <c r="A41" s="387">
        <v>28</v>
      </c>
      <c r="B41" s="385" t="s">
        <v>587</v>
      </c>
      <c r="C41" s="386" t="s">
        <v>588</v>
      </c>
      <c r="D41" s="281" t="str">
        <f>'hitung F3'!G115</f>
        <v>Upaya...</v>
      </c>
      <c r="E41" s="186">
        <v>1.8620689655172413</v>
      </c>
      <c r="F41" s="305">
        <f>'hitung F3'!E116</f>
        <v>2</v>
      </c>
      <c r="G41" s="98"/>
      <c r="H41" s="120">
        <f t="shared" si="0"/>
        <v>3.7241379310344827</v>
      </c>
    </row>
    <row r="42" spans="1:8" ht="51.75" thickBot="1">
      <c r="A42" s="387">
        <v>29</v>
      </c>
      <c r="B42" s="385" t="s">
        <v>41</v>
      </c>
      <c r="C42" s="390" t="s">
        <v>107</v>
      </c>
      <c r="D42" s="281" t="str">
        <f>'hitung F3'!G118</f>
        <v>Investasi...</v>
      </c>
      <c r="E42" s="186">
        <v>1.8620689655172413</v>
      </c>
      <c r="F42" s="305">
        <f>'hitung F3'!E119</f>
        <v>3</v>
      </c>
      <c r="G42" s="98"/>
      <c r="H42" s="120">
        <f t="shared" si="0"/>
        <v>5.586206896551724</v>
      </c>
    </row>
    <row r="43" spans="1:8" ht="39" thickBot="1">
      <c r="A43" s="387">
        <v>30</v>
      </c>
      <c r="B43" s="385" t="s">
        <v>42</v>
      </c>
      <c r="C43" s="390" t="s">
        <v>589</v>
      </c>
      <c r="D43" s="281" t="str">
        <f>'hitung F3'!G121</f>
        <v>Rencana...</v>
      </c>
      <c r="E43" s="186">
        <v>0.9310344827586207</v>
      </c>
      <c r="F43" s="305">
        <f>'hitung F3'!E122</f>
        <v>2</v>
      </c>
      <c r="G43" s="98"/>
      <c r="H43" s="120">
        <f t="shared" si="0"/>
        <v>1.8620689655172413</v>
      </c>
    </row>
    <row r="44" spans="1:8" ht="54" customHeight="1" thickBot="1">
      <c r="A44" s="387">
        <v>31</v>
      </c>
      <c r="B44" s="385" t="s">
        <v>44</v>
      </c>
      <c r="C44" s="386" t="s">
        <v>590</v>
      </c>
      <c r="D44" s="281" t="str">
        <f>'hitung F3'!G124</f>
        <v>Mutu...</v>
      </c>
      <c r="E44" s="186">
        <v>2.793103448275862</v>
      </c>
      <c r="F44" s="305">
        <f>'hitung F3'!E125</f>
        <v>1</v>
      </c>
      <c r="G44" s="98"/>
      <c r="H44" s="120">
        <f t="shared" si="0"/>
        <v>2.793103448275862</v>
      </c>
    </row>
    <row r="45" spans="1:8" ht="51.75" thickBot="1">
      <c r="A45" s="387">
        <v>32</v>
      </c>
      <c r="B45" s="385" t="s">
        <v>45</v>
      </c>
      <c r="C45" s="390" t="s">
        <v>591</v>
      </c>
      <c r="D45" s="281" t="str">
        <f>'hitung F3'!G127</f>
        <v>Rencana...</v>
      </c>
      <c r="E45" s="186">
        <v>0.9310344827586207</v>
      </c>
      <c r="F45" s="305">
        <f>'hitung F3'!E128</f>
        <v>1</v>
      </c>
      <c r="G45" s="98"/>
      <c r="H45" s="120">
        <f t="shared" si="0"/>
        <v>0.9310344827586207</v>
      </c>
    </row>
    <row r="46" spans="1:8" ht="51.75" thickBot="1">
      <c r="A46" s="387">
        <v>33</v>
      </c>
      <c r="B46" s="385" t="s">
        <v>449</v>
      </c>
      <c r="C46" s="386" t="s">
        <v>592</v>
      </c>
      <c r="D46" s="281" t="str">
        <f>'hitung F3'!G130</f>
        <v>Pemanfaatan...</v>
      </c>
      <c r="E46" s="186">
        <v>1.8620689655172413</v>
      </c>
      <c r="F46" s="305">
        <f>'hitung F3'!E131</f>
        <v>1</v>
      </c>
      <c r="G46" s="98"/>
      <c r="H46" s="120">
        <f t="shared" si="0"/>
        <v>1.8620689655172413</v>
      </c>
    </row>
    <row r="47" spans="1:8" ht="96.75" customHeight="1" thickBot="1">
      <c r="A47" s="387">
        <v>34</v>
      </c>
      <c r="B47" s="385" t="s">
        <v>451</v>
      </c>
      <c r="C47" s="386" t="s">
        <v>593</v>
      </c>
      <c r="D47" s="281" t="str">
        <f>'hitung F3'!G133</f>
        <v>Pemanfaatan...</v>
      </c>
      <c r="E47" s="186">
        <v>1.8620689655172413</v>
      </c>
      <c r="F47" s="305">
        <f>'hitung F3'!E134</f>
        <v>1</v>
      </c>
      <c r="G47" s="98"/>
      <c r="H47" s="120">
        <f t="shared" si="0"/>
        <v>1.8620689655172413</v>
      </c>
    </row>
    <row r="48" spans="1:8" ht="102.75" thickBot="1">
      <c r="A48" s="387">
        <v>35</v>
      </c>
      <c r="B48" s="385" t="s">
        <v>452</v>
      </c>
      <c r="C48" s="386" t="s">
        <v>594</v>
      </c>
      <c r="D48" s="281" t="str">
        <f>'hitung F3'!G136</f>
        <v>Pemanfaatan...</v>
      </c>
      <c r="E48" s="186">
        <v>0.9310344827586207</v>
      </c>
      <c r="F48" s="305">
        <f>'hitung F3'!E137</f>
        <v>4</v>
      </c>
      <c r="G48" s="98"/>
      <c r="H48" s="120">
        <f t="shared" si="0"/>
        <v>3.7241379310344827</v>
      </c>
    </row>
    <row r="49" spans="1:8" ht="39" thickBot="1">
      <c r="A49" s="387">
        <v>36</v>
      </c>
      <c r="B49" s="385" t="s">
        <v>47</v>
      </c>
      <c r="C49" s="390" t="s">
        <v>595</v>
      </c>
      <c r="D49" s="281" t="str">
        <f>'hitung F3'!G139</f>
        <v>Aksesibilitas...</v>
      </c>
      <c r="E49" s="186">
        <v>1.8620689655172413</v>
      </c>
      <c r="F49" s="305">
        <f>'hitung F3'!E145</f>
        <v>1.9166666666666667</v>
      </c>
      <c r="G49" s="98"/>
      <c r="H49" s="120">
        <f t="shared" si="0"/>
        <v>3.5689655172413794</v>
      </c>
    </row>
    <row r="50" spans="1:8" ht="77.25" thickBot="1">
      <c r="A50" s="387">
        <v>37</v>
      </c>
      <c r="B50" s="385" t="s">
        <v>49</v>
      </c>
      <c r="C50" s="390" t="s">
        <v>596</v>
      </c>
      <c r="D50" s="281" t="str">
        <f>'hitung F3'!G148</f>
        <v>Media...</v>
      </c>
      <c r="E50" s="186">
        <v>1.8620689655172413</v>
      </c>
      <c r="F50" s="305">
        <f>'hitung F3'!E149</f>
        <v>1</v>
      </c>
      <c r="G50" s="98"/>
      <c r="H50" s="120">
        <f t="shared" si="0"/>
        <v>1.8620689655172413</v>
      </c>
    </row>
    <row r="51" spans="1:8" ht="115.5" thickBot="1">
      <c r="A51" s="387">
        <v>38</v>
      </c>
      <c r="B51" s="385" t="s">
        <v>108</v>
      </c>
      <c r="C51" s="390" t="s">
        <v>597</v>
      </c>
      <c r="D51" s="281" t="str">
        <f>'hitung F3'!G151</f>
        <v>Rencana...</v>
      </c>
      <c r="E51" s="186">
        <v>0.9310344827586207</v>
      </c>
      <c r="F51" s="305">
        <f>'hitung F3'!E152</f>
        <v>3</v>
      </c>
      <c r="G51" s="98"/>
      <c r="H51" s="120">
        <f t="shared" si="0"/>
        <v>2.793103448275862</v>
      </c>
    </row>
    <row r="52" spans="1:8" ht="51.75" thickBot="1">
      <c r="A52" s="387">
        <v>39</v>
      </c>
      <c r="B52" s="385" t="s">
        <v>598</v>
      </c>
      <c r="C52" s="386" t="s">
        <v>599</v>
      </c>
      <c r="D52" s="281" t="str">
        <f>'hitung F3'!G154</f>
        <v>Banyaknya...</v>
      </c>
      <c r="E52" s="186">
        <v>1.6</v>
      </c>
      <c r="F52" s="305">
        <f>'hitung F3'!E158</f>
        <v>1</v>
      </c>
      <c r="G52" s="98"/>
      <c r="H52" s="120">
        <f t="shared" si="0"/>
        <v>1.6</v>
      </c>
    </row>
    <row r="53" spans="1:8" ht="39" thickBot="1">
      <c r="A53" s="387">
        <v>40</v>
      </c>
      <c r="B53" s="385" t="s">
        <v>600</v>
      </c>
      <c r="C53" s="390" t="s">
        <v>601</v>
      </c>
      <c r="D53" s="281" t="str">
        <f>'hitung F3'!G160</f>
        <v>Besar...</v>
      </c>
      <c r="E53" s="186">
        <v>1.6</v>
      </c>
      <c r="F53" s="305">
        <f>'hitung F3'!E164</f>
        <v>1</v>
      </c>
      <c r="G53" s="98"/>
      <c r="H53" s="120">
        <f t="shared" si="0"/>
        <v>1.6</v>
      </c>
    </row>
    <row r="54" spans="1:8" ht="51.75" thickBot="1">
      <c r="A54" s="387">
        <v>41</v>
      </c>
      <c r="B54" s="385" t="s">
        <v>54</v>
      </c>
      <c r="C54" s="385" t="s">
        <v>602</v>
      </c>
      <c r="D54" s="281" t="str">
        <f>'hitung F3'!G166</f>
        <v>Upaya...</v>
      </c>
      <c r="E54" s="186">
        <v>0.8</v>
      </c>
      <c r="F54" s="305">
        <f>'hitung F3'!E167</f>
        <v>2</v>
      </c>
      <c r="G54" s="98"/>
      <c r="H54" s="120">
        <f t="shared" si="0"/>
        <v>1.6</v>
      </c>
    </row>
    <row r="55" spans="1:8" ht="51.75" thickBot="1">
      <c r="A55" s="387">
        <v>42</v>
      </c>
      <c r="B55" s="385" t="s">
        <v>603</v>
      </c>
      <c r="C55" s="390" t="s">
        <v>604</v>
      </c>
      <c r="D55" s="281" t="str">
        <f>'hitung F3'!G169</f>
        <v>Banyak...</v>
      </c>
      <c r="E55" s="186">
        <v>2.4000000000000004</v>
      </c>
      <c r="F55" s="305">
        <f>'hitung F3'!E173</f>
        <v>1</v>
      </c>
      <c r="G55" s="98"/>
      <c r="H55" s="120">
        <f t="shared" si="0"/>
        <v>2.4000000000000004</v>
      </c>
    </row>
    <row r="56" spans="1:8" ht="39" thickBot="1">
      <c r="A56" s="387">
        <v>43</v>
      </c>
      <c r="B56" s="385" t="s">
        <v>605</v>
      </c>
      <c r="C56" s="390" t="s">
        <v>606</v>
      </c>
      <c r="D56" s="281" t="str">
        <f>'hitung F3'!G175</f>
        <v>Besar...</v>
      </c>
      <c r="E56" s="186">
        <v>1.6</v>
      </c>
      <c r="F56" s="305">
        <f>'hitung F3'!E179</f>
        <v>1</v>
      </c>
      <c r="G56" s="98"/>
      <c r="H56" s="120">
        <f t="shared" si="0"/>
        <v>1.6</v>
      </c>
    </row>
    <row r="57" spans="1:8" ht="51.75" thickBot="1">
      <c r="A57" s="387">
        <v>44</v>
      </c>
      <c r="B57" s="385" t="s">
        <v>57</v>
      </c>
      <c r="C57" s="390" t="s">
        <v>607</v>
      </c>
      <c r="D57" s="281" t="str">
        <f>'hitung F3'!G181</f>
        <v>Upaya...</v>
      </c>
      <c r="E57" s="186">
        <v>1.6</v>
      </c>
      <c r="F57" s="305">
        <f>'hitung F3'!E182</f>
        <v>2</v>
      </c>
      <c r="G57" s="98"/>
      <c r="H57" s="120">
        <f t="shared" si="0"/>
        <v>3.2</v>
      </c>
    </row>
    <row r="58" spans="1:8" ht="42" customHeight="1" thickBot="1">
      <c r="A58" s="387">
        <v>45</v>
      </c>
      <c r="B58" s="385" t="s">
        <v>58</v>
      </c>
      <c r="C58" s="390" t="s">
        <v>59</v>
      </c>
      <c r="D58" s="323" t="str">
        <f>'hitung F3'!G184</f>
        <v>Kegiatan...</v>
      </c>
      <c r="E58" s="395">
        <v>1.6</v>
      </c>
      <c r="F58" s="305">
        <f>'hitung F3'!E185</f>
        <v>3</v>
      </c>
      <c r="G58" s="98"/>
      <c r="H58" s="120">
        <f t="shared" si="0"/>
        <v>4.800000000000001</v>
      </c>
    </row>
    <row r="59" spans="1:8" ht="39" thickBot="1">
      <c r="A59" s="387">
        <v>46</v>
      </c>
      <c r="B59" s="385" t="s">
        <v>60</v>
      </c>
      <c r="C59" s="390" t="s">
        <v>61</v>
      </c>
      <c r="D59" s="323" t="str">
        <f>'hitung F3'!G187</f>
        <v>Kegiatan...</v>
      </c>
      <c r="E59" s="395">
        <v>0.8</v>
      </c>
      <c r="F59" s="305">
        <f>'hitung F3'!E188</f>
        <v>4</v>
      </c>
      <c r="G59" s="98"/>
      <c r="H59" s="120">
        <f t="shared" si="0"/>
        <v>3.2</v>
      </c>
    </row>
    <row r="60" spans="1:8" ht="15.75">
      <c r="A60" s="114" t="s">
        <v>62</v>
      </c>
      <c r="B60" s="101"/>
      <c r="C60" s="198"/>
      <c r="D60" s="98"/>
      <c r="E60" s="102"/>
      <c r="F60" s="102"/>
      <c r="G60" s="98"/>
      <c r="H60" s="98"/>
    </row>
    <row r="61" spans="1:8" ht="15.75">
      <c r="A61" s="103"/>
      <c r="B61" s="101"/>
      <c r="C61" s="198"/>
      <c r="D61" s="98"/>
      <c r="E61" s="102"/>
      <c r="F61" s="102"/>
      <c r="G61" s="98"/>
      <c r="H61" s="98"/>
    </row>
    <row r="62" spans="1:8" ht="15.75">
      <c r="A62" s="101"/>
      <c r="B62" s="101"/>
      <c r="C62" s="284"/>
      <c r="D62" s="198" t="str">
        <f>'F 1'!D119</f>
        <v>      …………, …..-……- 2010</v>
      </c>
      <c r="E62" s="102"/>
      <c r="F62" s="102"/>
      <c r="G62" s="98"/>
      <c r="H62" s="98"/>
    </row>
    <row r="63" spans="1:8" ht="15.75">
      <c r="A63" s="103"/>
      <c r="B63" s="101"/>
      <c r="C63" s="198"/>
      <c r="D63" s="198"/>
      <c r="E63" s="155"/>
      <c r="F63" s="138"/>
      <c r="G63" s="154"/>
      <c r="H63" s="154"/>
    </row>
    <row r="64" spans="1:8" ht="15.75">
      <c r="A64" s="103"/>
      <c r="B64" s="101"/>
      <c r="C64" s="117"/>
      <c r="D64" s="198" t="str">
        <f>'F 1'!D121</f>
        <v>Nama Asesor   :</v>
      </c>
      <c r="E64" s="155"/>
      <c r="F64" s="138"/>
      <c r="G64" s="154"/>
      <c r="H64" s="154"/>
    </row>
    <row r="65" spans="1:8" ht="28.5" customHeight="1">
      <c r="A65" s="116"/>
      <c r="B65" s="116"/>
      <c r="C65" s="198"/>
      <c r="D65" s="198"/>
      <c r="E65" s="139"/>
      <c r="F65" s="139"/>
      <c r="G65" s="154"/>
      <c r="H65" s="154"/>
    </row>
    <row r="66" spans="1:8" ht="15">
      <c r="A66" s="116"/>
      <c r="B66" s="116"/>
      <c r="C66" s="117"/>
      <c r="D66" s="198" t="str">
        <f>'F 1'!D123</f>
        <v>Tanda Tangan :</v>
      </c>
      <c r="E66" s="139"/>
      <c r="F66" s="139"/>
      <c r="G66" s="154"/>
      <c r="H66" s="154"/>
    </row>
    <row r="67" spans="1:8" ht="15">
      <c r="A67" s="116"/>
      <c r="B67" s="116"/>
      <c r="C67" s="198"/>
      <c r="D67" s="198"/>
      <c r="E67" s="139"/>
      <c r="F67" s="139"/>
      <c r="G67" s="154"/>
      <c r="H67" s="154"/>
    </row>
    <row r="68" spans="1:8" ht="15">
      <c r="A68" s="21"/>
      <c r="B68" s="22"/>
      <c r="C68" s="36"/>
      <c r="D68" s="36"/>
      <c r="E68" s="18"/>
      <c r="F68" s="18"/>
      <c r="G68" s="17"/>
      <c r="H68" s="17"/>
    </row>
    <row r="69" spans="1:8" ht="15">
      <c r="A69" s="21"/>
      <c r="B69" s="21"/>
      <c r="E69" s="47"/>
      <c r="F69" s="28"/>
      <c r="G69" s="17"/>
      <c r="H69" s="17"/>
    </row>
    <row r="70" spans="1:8" ht="15">
      <c r="A70" s="21"/>
      <c r="B70" s="21"/>
      <c r="E70" s="47"/>
      <c r="F70" s="28"/>
      <c r="G70" s="17"/>
      <c r="H70" s="17"/>
    </row>
    <row r="71" spans="1:8" ht="15">
      <c r="A71" s="16"/>
      <c r="B71" s="16"/>
      <c r="C71" s="34"/>
      <c r="D71" s="16"/>
      <c r="E71" s="18"/>
      <c r="F71" s="18"/>
      <c r="G71" s="17"/>
      <c r="H71" s="17"/>
    </row>
    <row r="72" spans="1:8" ht="15">
      <c r="A72" s="16"/>
      <c r="B72" s="16"/>
      <c r="D72" s="45"/>
      <c r="E72" s="18"/>
      <c r="F72" s="18"/>
      <c r="G72" s="17"/>
      <c r="H72" s="17"/>
    </row>
    <row r="73" spans="1:8" ht="15">
      <c r="A73" s="19"/>
      <c r="B73" s="19"/>
      <c r="C73" s="45"/>
      <c r="D73" s="45"/>
      <c r="E73" s="47"/>
      <c r="F73" s="28"/>
      <c r="G73" s="17"/>
      <c r="H73" s="17"/>
    </row>
    <row r="74" spans="1:8" ht="15">
      <c r="A74" s="19"/>
      <c r="B74" s="19"/>
      <c r="C74" s="45"/>
      <c r="D74" s="45"/>
      <c r="E74" s="47"/>
      <c r="F74" s="28"/>
      <c r="G74" s="17"/>
      <c r="H74" s="17"/>
    </row>
    <row r="75" spans="1:8" ht="15">
      <c r="A75" s="16"/>
      <c r="B75" s="16"/>
      <c r="C75" s="45"/>
      <c r="D75" s="45"/>
      <c r="E75" s="18"/>
      <c r="F75" s="18"/>
      <c r="G75" s="17"/>
      <c r="H75" s="17"/>
    </row>
    <row r="76" spans="1:8" ht="15">
      <c r="A76" s="19"/>
      <c r="B76" s="19"/>
      <c r="C76" s="45"/>
      <c r="D76" s="45"/>
      <c r="E76" s="47"/>
      <c r="F76" s="28"/>
      <c r="G76" s="17"/>
      <c r="H76" s="17"/>
    </row>
    <row r="77" spans="1:8" ht="15">
      <c r="A77" s="19"/>
      <c r="B77" s="19"/>
      <c r="C77" s="45"/>
      <c r="D77" s="45"/>
      <c r="E77" s="47"/>
      <c r="F77" s="28"/>
      <c r="G77" s="17"/>
      <c r="H77" s="17"/>
    </row>
    <row r="78" spans="1:8" ht="15">
      <c r="A78" s="16"/>
      <c r="B78" s="16"/>
      <c r="C78" s="34"/>
      <c r="D78" s="16"/>
      <c r="E78" s="18"/>
      <c r="F78" s="18"/>
      <c r="G78" s="17"/>
      <c r="H78" s="17"/>
    </row>
    <row r="79" spans="1:8" ht="15">
      <c r="A79" s="19"/>
      <c r="B79" s="19"/>
      <c r="C79" s="33"/>
      <c r="D79" s="27"/>
      <c r="E79" s="47"/>
      <c r="F79" s="28"/>
      <c r="G79" s="17"/>
      <c r="H79" s="17"/>
    </row>
    <row r="80" spans="1:8" ht="15">
      <c r="A80" s="19"/>
      <c r="B80" s="19"/>
      <c r="C80" s="33"/>
      <c r="D80" s="27"/>
      <c r="E80" s="47"/>
      <c r="F80" s="28"/>
      <c r="G80" s="17"/>
      <c r="H80" s="17"/>
    </row>
    <row r="81" spans="1:8" ht="15">
      <c r="A81" s="16"/>
      <c r="B81" s="16"/>
      <c r="C81" s="34"/>
      <c r="D81" s="16"/>
      <c r="E81" s="18"/>
      <c r="F81" s="18"/>
      <c r="G81" s="17"/>
      <c r="H81" s="17"/>
    </row>
    <row r="82" spans="1:8" ht="15">
      <c r="A82" s="16"/>
      <c r="B82" s="16"/>
      <c r="C82" s="34"/>
      <c r="D82" s="16"/>
      <c r="E82" s="18"/>
      <c r="F82" s="18"/>
      <c r="G82" s="17"/>
      <c r="H82" s="17"/>
    </row>
    <row r="83" spans="1:8" ht="15.75">
      <c r="A83" s="31"/>
      <c r="B83" s="16"/>
      <c r="C83" s="34"/>
      <c r="D83" s="16"/>
      <c r="E83" s="18"/>
      <c r="F83" s="18"/>
      <c r="G83" s="17"/>
      <c r="H83" s="17"/>
    </row>
    <row r="84" spans="1:8" ht="15.75">
      <c r="A84" s="31"/>
      <c r="B84" s="16"/>
      <c r="C84" s="34"/>
      <c r="D84" s="16"/>
      <c r="E84" s="18"/>
      <c r="F84" s="18"/>
      <c r="G84" s="17"/>
      <c r="H84" s="17"/>
    </row>
    <row r="85" spans="1:9" ht="15.75">
      <c r="A85" s="16"/>
      <c r="B85" s="16"/>
      <c r="C85" s="34"/>
      <c r="D85" s="16"/>
      <c r="E85" s="18"/>
      <c r="F85" s="18"/>
      <c r="G85" s="17"/>
      <c r="H85" s="17"/>
      <c r="I85" s="2"/>
    </row>
    <row r="86" spans="1:8" ht="15.75">
      <c r="A86" s="31"/>
      <c r="B86" s="16"/>
      <c r="C86" s="34"/>
      <c r="D86" s="16"/>
      <c r="E86" s="18"/>
      <c r="F86" s="18"/>
      <c r="G86" s="17"/>
      <c r="H86" s="17"/>
    </row>
    <row r="87" spans="1:8" ht="15.75">
      <c r="A87" s="31"/>
      <c r="B87" s="16"/>
      <c r="C87" s="34"/>
      <c r="D87" s="16"/>
      <c r="E87" s="18"/>
      <c r="F87" s="18"/>
      <c r="G87" s="17"/>
      <c r="H87" s="17"/>
    </row>
    <row r="88" spans="1:8" ht="15" customHeight="1">
      <c r="A88" s="15"/>
      <c r="B88" s="15"/>
      <c r="C88" s="35"/>
      <c r="D88" s="15"/>
      <c r="E88" s="28"/>
      <c r="F88" s="18"/>
      <c r="G88" s="17"/>
      <c r="H88" s="17"/>
    </row>
    <row r="89" spans="1:8" ht="15">
      <c r="A89" s="15"/>
      <c r="B89" s="15"/>
      <c r="C89" s="35"/>
      <c r="D89" s="15"/>
      <c r="E89" s="28"/>
      <c r="F89" s="18"/>
      <c r="G89" s="17"/>
      <c r="H89" s="17"/>
    </row>
    <row r="90" spans="1:8" ht="15">
      <c r="A90" s="15"/>
      <c r="B90" s="15"/>
      <c r="C90" s="35"/>
      <c r="D90" s="15"/>
      <c r="E90" s="28"/>
      <c r="F90" s="18"/>
      <c r="G90" s="17"/>
      <c r="H90" s="17"/>
    </row>
    <row r="91" spans="1:8" ht="15" customHeight="1">
      <c r="A91" s="15"/>
      <c r="B91" s="15"/>
      <c r="C91" s="35"/>
      <c r="D91" s="15"/>
      <c r="E91" s="28"/>
      <c r="F91" s="18"/>
      <c r="G91" s="17"/>
      <c r="H91" s="17"/>
    </row>
    <row r="92" spans="1:8" ht="15">
      <c r="A92" s="15"/>
      <c r="B92" s="15"/>
      <c r="C92" s="35"/>
      <c r="D92" s="15"/>
      <c r="E92" s="28"/>
      <c r="F92" s="18"/>
      <c r="G92" s="17"/>
      <c r="H92" s="17"/>
    </row>
    <row r="93" spans="1:8" ht="15">
      <c r="A93" s="15"/>
      <c r="B93" s="15"/>
      <c r="C93" s="35"/>
      <c r="D93" s="15"/>
      <c r="E93" s="28"/>
      <c r="F93" s="18"/>
      <c r="G93" s="17"/>
      <c r="H93" s="17"/>
    </row>
  </sheetData>
  <sheetProtection selectLockedCells="1"/>
  <mergeCells count="5"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2"/>
  <sheetViews>
    <sheetView zoomScale="90" zoomScaleNormal="90" zoomScalePageLayoutView="0" workbookViewId="0" topLeftCell="A1">
      <selection activeCell="E155" sqref="E155"/>
    </sheetView>
  </sheetViews>
  <sheetFormatPr defaultColWidth="9.140625" defaultRowHeight="15"/>
  <cols>
    <col min="1" max="1" width="10.00390625" style="0" customWidth="1"/>
    <col min="2" max="2" width="10.8515625" style="0" customWidth="1"/>
    <col min="4" max="4" width="60.28125" style="0" customWidth="1"/>
    <col min="5" max="5" width="12.00390625" style="0" customWidth="1"/>
    <col min="6" max="6" width="9.28125" style="0" customWidth="1"/>
    <col min="7" max="7" width="43.28125" style="0" customWidth="1"/>
  </cols>
  <sheetData>
    <row r="1" spans="1:6" ht="26.25">
      <c r="A1" s="504" t="s">
        <v>247</v>
      </c>
      <c r="B1" s="504"/>
      <c r="C1" s="504"/>
      <c r="D1" s="504"/>
      <c r="E1" s="504"/>
      <c r="F1" s="78"/>
    </row>
    <row r="2" spans="1:6" ht="15.75" thickBot="1">
      <c r="A2" s="78"/>
      <c r="B2" s="78"/>
      <c r="C2" s="78"/>
      <c r="D2" s="78"/>
      <c r="E2" s="78"/>
      <c r="F2" s="78"/>
    </row>
    <row r="3" spans="1:7" ht="70.5" thickBot="1">
      <c r="A3" s="302" t="s">
        <v>310</v>
      </c>
      <c r="B3" s="303" t="s">
        <v>274</v>
      </c>
      <c r="C3" s="563" t="s">
        <v>327</v>
      </c>
      <c r="D3" s="563"/>
      <c r="E3" s="304" t="s">
        <v>328</v>
      </c>
      <c r="F3" s="78"/>
      <c r="G3" s="332" t="s">
        <v>650</v>
      </c>
    </row>
    <row r="4" spans="1:7" s="29" customFormat="1" ht="30.75" customHeight="1" thickBot="1">
      <c r="A4" s="275">
        <v>1</v>
      </c>
      <c r="B4" s="273" t="s">
        <v>97</v>
      </c>
      <c r="C4" s="454" t="s">
        <v>340</v>
      </c>
      <c r="D4" s="455"/>
      <c r="E4" s="295">
        <v>0</v>
      </c>
      <c r="F4" s="285"/>
      <c r="G4" s="331" t="s">
        <v>648</v>
      </c>
    </row>
    <row r="5" spans="1:7" s="29" customFormat="1" ht="15.75" thickBot="1">
      <c r="A5" s="292"/>
      <c r="B5" s="291"/>
      <c r="C5" s="559" t="s">
        <v>140</v>
      </c>
      <c r="D5" s="560"/>
      <c r="E5" s="221">
        <f>IF(E4&lt;0,"Salah Isi",IF(E4&lt;1,1,IF(E4&lt;=4,E4,"Salah Isi")))</f>
        <v>1</v>
      </c>
      <c r="F5" s="285"/>
      <c r="G5" s="301"/>
    </row>
    <row r="6" spans="1:7" s="29" customFormat="1" ht="15.75" thickBot="1">
      <c r="A6" s="292"/>
      <c r="B6" s="291"/>
      <c r="C6" s="285"/>
      <c r="D6" s="285"/>
      <c r="E6" s="292"/>
      <c r="F6" s="285"/>
      <c r="G6" s="301"/>
    </row>
    <row r="7" spans="1:7" s="29" customFormat="1" ht="30" customHeight="1" thickBot="1">
      <c r="A7" s="191">
        <v>2</v>
      </c>
      <c r="B7" s="192" t="s">
        <v>98</v>
      </c>
      <c r="C7" s="466" t="s">
        <v>7</v>
      </c>
      <c r="D7" s="467"/>
      <c r="E7" s="295">
        <v>0</v>
      </c>
      <c r="F7" s="285"/>
      <c r="G7" s="331" t="s">
        <v>609</v>
      </c>
    </row>
    <row r="8" spans="1:7" s="29" customFormat="1" ht="15.75" thickBot="1">
      <c r="A8" s="292"/>
      <c r="B8" s="291"/>
      <c r="C8" s="306" t="s">
        <v>140</v>
      </c>
      <c r="D8" s="307"/>
      <c r="E8" s="221">
        <f>IF(E7&lt;0,"Salah Isi",IF(E7&lt;1,1,IF(E7&lt;=4,E7,"Salah Isi")))</f>
        <v>1</v>
      </c>
      <c r="F8" s="285"/>
      <c r="G8" s="301"/>
    </row>
    <row r="9" spans="1:7" s="29" customFormat="1" ht="15.75" thickBot="1">
      <c r="A9" s="292"/>
      <c r="B9" s="291"/>
      <c r="C9" s="285"/>
      <c r="D9" s="285"/>
      <c r="E9" s="292"/>
      <c r="F9" s="285"/>
      <c r="G9" s="301"/>
    </row>
    <row r="10" spans="1:7" s="29" customFormat="1" ht="32.25" customHeight="1" thickBot="1">
      <c r="A10" s="191">
        <v>3</v>
      </c>
      <c r="B10" s="242" t="s">
        <v>311</v>
      </c>
      <c r="C10" s="454" t="s">
        <v>560</v>
      </c>
      <c r="D10" s="455"/>
      <c r="E10" s="295">
        <v>0</v>
      </c>
      <c r="F10" s="285"/>
      <c r="G10" s="331" t="s">
        <v>610</v>
      </c>
    </row>
    <row r="11" spans="1:7" s="29" customFormat="1" ht="15.75" thickBot="1">
      <c r="A11" s="292"/>
      <c r="B11" s="291"/>
      <c r="C11" s="541" t="s">
        <v>140</v>
      </c>
      <c r="D11" s="542"/>
      <c r="E11" s="221">
        <f>IF(E10&lt;0,"Salah Isi",IF(E10&lt;1,1,IF(E10&lt;=4,E10,"Salah Isi")))</f>
        <v>1</v>
      </c>
      <c r="F11" s="285"/>
      <c r="G11" s="301"/>
    </row>
    <row r="12" spans="1:7" s="29" customFormat="1" ht="15.75" thickBot="1">
      <c r="A12" s="292"/>
      <c r="B12" s="291"/>
      <c r="C12" s="285"/>
      <c r="D12" s="285"/>
      <c r="E12" s="292"/>
      <c r="F12" s="285"/>
      <c r="G12" s="301"/>
    </row>
    <row r="13" spans="1:7" s="29" customFormat="1" ht="42.75" customHeight="1" thickBot="1">
      <c r="A13" s="191">
        <v>4</v>
      </c>
      <c r="B13" s="242" t="s">
        <v>312</v>
      </c>
      <c r="C13" s="454" t="s">
        <v>611</v>
      </c>
      <c r="D13" s="455"/>
      <c r="E13" s="295">
        <v>0</v>
      </c>
      <c r="F13" s="285"/>
      <c r="G13" s="331" t="s">
        <v>612</v>
      </c>
    </row>
    <row r="14" spans="1:7" s="29" customFormat="1" ht="15.75" thickBot="1">
      <c r="A14" s="292"/>
      <c r="B14" s="291"/>
      <c r="C14" s="541" t="s">
        <v>140</v>
      </c>
      <c r="D14" s="542"/>
      <c r="E14" s="298">
        <f>IF(E13&lt;0,"Salah Isi",IF(E13&lt;=4,E13,"Salah Isi"))</f>
        <v>0</v>
      </c>
      <c r="F14" s="285"/>
      <c r="G14" s="301"/>
    </row>
    <row r="15" spans="1:7" s="29" customFormat="1" ht="15.75" thickBot="1">
      <c r="A15" s="292"/>
      <c r="B15" s="291"/>
      <c r="C15" s="288"/>
      <c r="D15" s="288"/>
      <c r="E15" s="294"/>
      <c r="F15" s="285"/>
      <c r="G15" s="301"/>
    </row>
    <row r="16" spans="1:7" s="29" customFormat="1" ht="15.75" thickBot="1">
      <c r="A16" s="292">
        <v>5</v>
      </c>
      <c r="B16" s="291" t="s">
        <v>313</v>
      </c>
      <c r="C16" s="286" t="s">
        <v>331</v>
      </c>
      <c r="D16" s="287"/>
      <c r="E16" s="293">
        <v>0</v>
      </c>
      <c r="F16" s="285"/>
      <c r="G16" s="331" t="s">
        <v>613</v>
      </c>
    </row>
    <row r="17" spans="1:7" s="29" customFormat="1" ht="15.75" thickBot="1">
      <c r="A17" s="292"/>
      <c r="B17" s="291"/>
      <c r="C17" s="561" t="s">
        <v>140</v>
      </c>
      <c r="D17" s="561"/>
      <c r="E17" s="221">
        <f>IF(E16&lt;0,"Salah Isi",IF(E16&lt;1,1,IF(E16&lt;=4,E16,"Salah Isi")))</f>
        <v>1</v>
      </c>
      <c r="F17" s="285"/>
      <c r="G17" s="301"/>
    </row>
    <row r="18" spans="1:7" s="29" customFormat="1" ht="15.75" thickBot="1">
      <c r="A18" s="292"/>
      <c r="B18" s="291"/>
      <c r="C18" s="288"/>
      <c r="D18" s="288"/>
      <c r="E18" s="294"/>
      <c r="F18" s="285"/>
      <c r="G18" s="301"/>
    </row>
    <row r="19" spans="1:7" s="29" customFormat="1" ht="29.25" customHeight="1" thickBot="1">
      <c r="A19" s="191">
        <v>6</v>
      </c>
      <c r="B19" s="242" t="s">
        <v>314</v>
      </c>
      <c r="C19" s="454" t="s">
        <v>561</v>
      </c>
      <c r="D19" s="455"/>
      <c r="E19" s="295">
        <v>0</v>
      </c>
      <c r="F19" s="285"/>
      <c r="G19" s="331" t="s">
        <v>614</v>
      </c>
    </row>
    <row r="20" spans="1:7" s="29" customFormat="1" ht="15.75" thickBot="1">
      <c r="A20" s="292"/>
      <c r="B20" s="291"/>
      <c r="C20" s="541" t="s">
        <v>140</v>
      </c>
      <c r="D20" s="542"/>
      <c r="E20" s="221">
        <f>IF(E19&lt;0,"Salah Isi",IF(E19&lt;1,1,IF(E19&lt;=4,E19,"Salah Isi")))</f>
        <v>1</v>
      </c>
      <c r="F20" s="285"/>
      <c r="G20" s="301"/>
    </row>
    <row r="21" spans="1:7" s="29" customFormat="1" ht="15.75" thickBot="1">
      <c r="A21" s="292"/>
      <c r="B21" s="291"/>
      <c r="C21" s="288"/>
      <c r="D21" s="288"/>
      <c r="E21" s="294"/>
      <c r="F21" s="285"/>
      <c r="G21" s="301"/>
    </row>
    <row r="22" spans="1:7" s="29" customFormat="1" ht="43.5" customHeight="1" thickBot="1">
      <c r="A22" s="191">
        <v>7</v>
      </c>
      <c r="B22" s="242" t="s">
        <v>315</v>
      </c>
      <c r="C22" s="442" t="s">
        <v>562</v>
      </c>
      <c r="D22" s="443"/>
      <c r="E22" s="295">
        <v>0</v>
      </c>
      <c r="F22" s="285"/>
      <c r="G22" s="331" t="s">
        <v>553</v>
      </c>
    </row>
    <row r="23" spans="1:7" s="29" customFormat="1" ht="15.75" thickBot="1">
      <c r="A23" s="292"/>
      <c r="B23" s="291"/>
      <c r="C23" s="541" t="s">
        <v>140</v>
      </c>
      <c r="D23" s="542"/>
      <c r="E23" s="298">
        <f>IF(E22&lt;0,"Salah Isi",IF(E22&lt;=4,E22,"Salah Isi"))</f>
        <v>0</v>
      </c>
      <c r="F23" s="285"/>
      <c r="G23" s="301"/>
    </row>
    <row r="24" spans="1:7" s="29" customFormat="1" ht="15.75" thickBot="1">
      <c r="A24" s="292"/>
      <c r="B24" s="291"/>
      <c r="C24" s="288"/>
      <c r="D24" s="288"/>
      <c r="E24" s="294"/>
      <c r="F24" s="285"/>
      <c r="G24" s="301"/>
    </row>
    <row r="25" spans="1:7" s="29" customFormat="1" ht="16.5" customHeight="1" thickBot="1">
      <c r="A25" s="191">
        <v>8</v>
      </c>
      <c r="B25" s="192" t="s">
        <v>99</v>
      </c>
      <c r="C25" s="454" t="s">
        <v>100</v>
      </c>
      <c r="D25" s="455"/>
      <c r="E25" s="295">
        <v>0</v>
      </c>
      <c r="F25" s="285"/>
      <c r="G25" s="331" t="s">
        <v>615</v>
      </c>
    </row>
    <row r="26" spans="1:7" s="29" customFormat="1" ht="15.75" thickBot="1">
      <c r="A26" s="292"/>
      <c r="B26" s="291"/>
      <c r="C26" s="535" t="s">
        <v>140</v>
      </c>
      <c r="D26" s="536"/>
      <c r="E26" s="298">
        <f>IF(E25&lt;0,"Salah Isi",IF(E25&lt;=4,E25,"Salah Isi"))</f>
        <v>0</v>
      </c>
      <c r="F26" s="285"/>
      <c r="G26" s="301"/>
    </row>
    <row r="27" spans="1:7" s="29" customFormat="1" ht="15.75" thickBot="1">
      <c r="A27" s="292"/>
      <c r="B27" s="291"/>
      <c r="C27" s="288"/>
      <c r="D27" s="288"/>
      <c r="E27" s="294"/>
      <c r="F27" s="285"/>
      <c r="G27" s="301"/>
    </row>
    <row r="28" spans="1:7" s="29" customFormat="1" ht="15.75" customHeight="1" thickBot="1">
      <c r="A28" s="191">
        <v>9</v>
      </c>
      <c r="B28" s="192" t="s">
        <v>101</v>
      </c>
      <c r="C28" s="454" t="s">
        <v>563</v>
      </c>
      <c r="D28" s="455"/>
      <c r="E28" s="295">
        <v>0</v>
      </c>
      <c r="F28" s="285"/>
      <c r="G28" s="331" t="s">
        <v>530</v>
      </c>
    </row>
    <row r="29" spans="1:7" s="29" customFormat="1" ht="15.75" thickBot="1">
      <c r="A29" s="292"/>
      <c r="B29" s="291"/>
      <c r="C29" s="555" t="s">
        <v>140</v>
      </c>
      <c r="D29" s="556"/>
      <c r="E29" s="298">
        <f>IF(E28&lt;0,"Salah Isi",IF(E28&lt;=4,E28,"Salah Isi"))</f>
        <v>0</v>
      </c>
      <c r="F29" s="285"/>
      <c r="G29" s="301"/>
    </row>
    <row r="30" spans="1:7" s="29" customFormat="1" ht="15.75" thickBot="1">
      <c r="A30" s="292"/>
      <c r="B30" s="291"/>
      <c r="C30" s="285"/>
      <c r="D30" s="285"/>
      <c r="E30" s="292"/>
      <c r="F30" s="285"/>
      <c r="G30" s="301"/>
    </row>
    <row r="31" spans="1:7" s="29" customFormat="1" ht="27" customHeight="1" thickBot="1">
      <c r="A31" s="191">
        <v>10</v>
      </c>
      <c r="B31" s="192" t="s">
        <v>102</v>
      </c>
      <c r="C31" s="454" t="s">
        <v>564</v>
      </c>
      <c r="D31" s="455"/>
      <c r="E31" s="295">
        <v>0</v>
      </c>
      <c r="F31" s="285"/>
      <c r="G31" s="331" t="s">
        <v>530</v>
      </c>
    </row>
    <row r="32" spans="1:7" s="29" customFormat="1" ht="26.25" customHeight="1" thickBot="1">
      <c r="A32" s="292"/>
      <c r="B32" s="291"/>
      <c r="C32" s="557" t="s">
        <v>140</v>
      </c>
      <c r="D32" s="558"/>
      <c r="E32" s="435">
        <f>IF(E31&lt;0,"Salah Isi",IF(E31=1,"Tidak ada skor 1",IF(E31=3,"Tidak ada skor 3",IF(E31&lt;=4,E31,"Salah Isi"))))</f>
        <v>0</v>
      </c>
      <c r="F32" s="285"/>
      <c r="G32" s="301"/>
    </row>
    <row r="33" spans="1:7" s="29" customFormat="1" ht="15.75" thickBot="1">
      <c r="A33" s="292"/>
      <c r="B33" s="291"/>
      <c r="C33" s="285"/>
      <c r="D33" s="285"/>
      <c r="E33" s="434"/>
      <c r="F33" s="285"/>
      <c r="G33" s="301"/>
    </row>
    <row r="34" spans="1:7" s="29" customFormat="1" ht="12.75" customHeight="1" thickBot="1">
      <c r="A34" s="191">
        <v>11</v>
      </c>
      <c r="B34" s="192" t="s">
        <v>9</v>
      </c>
      <c r="C34" s="442" t="s">
        <v>103</v>
      </c>
      <c r="D34" s="443"/>
      <c r="E34" s="309"/>
      <c r="F34" s="285"/>
      <c r="G34" s="331" t="s">
        <v>477</v>
      </c>
    </row>
    <row r="35" spans="1:7" ht="15">
      <c r="A35" s="292"/>
      <c r="B35" s="291"/>
      <c r="C35" s="310" t="s">
        <v>137</v>
      </c>
      <c r="D35" s="286" t="s">
        <v>279</v>
      </c>
      <c r="E35" s="296">
        <v>100</v>
      </c>
      <c r="F35" s="285"/>
      <c r="G35" s="301"/>
    </row>
    <row r="36" spans="1:7" ht="15">
      <c r="A36" s="292"/>
      <c r="B36" s="291"/>
      <c r="C36" s="310" t="s">
        <v>162</v>
      </c>
      <c r="D36" s="286" t="s">
        <v>280</v>
      </c>
      <c r="E36" s="296">
        <v>100</v>
      </c>
      <c r="F36" s="285"/>
      <c r="G36" s="301"/>
    </row>
    <row r="37" spans="1:7" ht="15">
      <c r="A37" s="292"/>
      <c r="B37" s="291"/>
      <c r="C37" s="311" t="s">
        <v>138</v>
      </c>
      <c r="D37" s="308" t="s">
        <v>278</v>
      </c>
      <c r="E37" s="297">
        <f>E35/E36</f>
        <v>1</v>
      </c>
      <c r="F37" s="285"/>
      <c r="G37" s="301"/>
    </row>
    <row r="38" spans="1:7" ht="15.75" thickBot="1">
      <c r="A38" s="292"/>
      <c r="B38" s="291"/>
      <c r="C38" s="541" t="s">
        <v>140</v>
      </c>
      <c r="D38" s="542"/>
      <c r="E38" s="298">
        <f>IF(E37&gt;=1.25,0,IF(E37&gt;0.25,5-4*E37,4))</f>
        <v>1</v>
      </c>
      <c r="F38" s="285"/>
      <c r="G38" s="301"/>
    </row>
    <row r="39" spans="1:7" s="29" customFormat="1" ht="15.75" thickBot="1">
      <c r="A39" s="292"/>
      <c r="B39" s="291"/>
      <c r="C39" s="288"/>
      <c r="D39" s="288"/>
      <c r="E39" s="294"/>
      <c r="F39" s="285"/>
      <c r="G39" s="301"/>
    </row>
    <row r="40" spans="1:7" s="29" customFormat="1" ht="16.5" customHeight="1" thickBot="1">
      <c r="A40" s="191">
        <v>12</v>
      </c>
      <c r="B40" s="192" t="s">
        <v>10</v>
      </c>
      <c r="C40" s="454" t="s">
        <v>565</v>
      </c>
      <c r="D40" s="455"/>
      <c r="E40" s="295">
        <v>0</v>
      </c>
      <c r="F40" s="285"/>
      <c r="G40" s="331" t="s">
        <v>616</v>
      </c>
    </row>
    <row r="41" spans="1:7" s="29" customFormat="1" ht="15.75" thickBot="1">
      <c r="A41" s="292"/>
      <c r="B41" s="291"/>
      <c r="C41" s="535" t="s">
        <v>140</v>
      </c>
      <c r="D41" s="536"/>
      <c r="E41" s="221">
        <f>IF(E40&lt;0,"Salah Isi",IF(E40&lt;1,1,IF(E40&lt;=4,E40,"Salah Isi")))</f>
        <v>1</v>
      </c>
      <c r="F41" s="285"/>
      <c r="G41" s="301"/>
    </row>
    <row r="42" spans="1:7" ht="15.75" thickBot="1">
      <c r="A42" s="292"/>
      <c r="B42" s="291"/>
      <c r="C42" s="285"/>
      <c r="D42" s="285"/>
      <c r="E42" s="292"/>
      <c r="F42" s="285"/>
      <c r="G42" s="301"/>
    </row>
    <row r="43" spans="1:7" s="29" customFormat="1" ht="14.25" customHeight="1" thickBot="1">
      <c r="A43" s="191">
        <v>13</v>
      </c>
      <c r="B43" s="192" t="s">
        <v>566</v>
      </c>
      <c r="C43" s="442" t="s">
        <v>567</v>
      </c>
      <c r="D43" s="443"/>
      <c r="E43" s="315"/>
      <c r="F43" s="285"/>
      <c r="G43" s="331" t="s">
        <v>617</v>
      </c>
    </row>
    <row r="44" spans="1:7" s="29" customFormat="1" ht="14.25" customHeight="1">
      <c r="A44" s="191"/>
      <c r="B44" s="192"/>
      <c r="C44" s="369" t="s">
        <v>723</v>
      </c>
      <c r="D44" s="358"/>
      <c r="E44" s="296">
        <v>1</v>
      </c>
      <c r="F44" s="285"/>
      <c r="G44" s="373"/>
    </row>
    <row r="45" spans="1:7" s="29" customFormat="1" ht="14.25" customHeight="1">
      <c r="A45" s="191"/>
      <c r="B45" s="192"/>
      <c r="C45" s="369" t="s">
        <v>724</v>
      </c>
      <c r="D45" s="358"/>
      <c r="E45" s="296">
        <v>1</v>
      </c>
      <c r="F45" s="285"/>
      <c r="G45" s="373"/>
    </row>
    <row r="46" spans="1:7" s="29" customFormat="1" ht="14.25" customHeight="1">
      <c r="A46" s="191"/>
      <c r="B46" s="192"/>
      <c r="C46" s="370" t="s">
        <v>711</v>
      </c>
      <c r="D46" s="371"/>
      <c r="E46" s="372">
        <f>E44/E45</f>
        <v>1</v>
      </c>
      <c r="F46" s="285"/>
      <c r="G46" s="373"/>
    </row>
    <row r="47" spans="1:7" s="29" customFormat="1" ht="15.75" thickBot="1">
      <c r="A47" s="292"/>
      <c r="B47" s="291"/>
      <c r="C47" s="535" t="s">
        <v>140</v>
      </c>
      <c r="D47" s="536"/>
      <c r="E47" s="298">
        <f>IF(E46&lt;1,"Salah Isi",IF(E46&lt;=4,E46,"Salah Isi"))</f>
        <v>1</v>
      </c>
      <c r="F47" s="285"/>
      <c r="G47" s="301"/>
    </row>
    <row r="48" spans="1:7" s="29" customFormat="1" ht="15.75" thickBot="1">
      <c r="A48" s="292"/>
      <c r="B48" s="291"/>
      <c r="C48" s="285"/>
      <c r="D48" s="285"/>
      <c r="E48" s="292"/>
      <c r="F48" s="285"/>
      <c r="G48" s="301"/>
    </row>
    <row r="49" spans="1:7" s="29" customFormat="1" ht="15" customHeight="1" thickBot="1">
      <c r="A49" s="191">
        <v>14</v>
      </c>
      <c r="B49" s="192" t="s">
        <v>568</v>
      </c>
      <c r="C49" s="454" t="s">
        <v>569</v>
      </c>
      <c r="D49" s="455"/>
      <c r="E49" s="315"/>
      <c r="F49" s="285"/>
      <c r="G49" s="331" t="s">
        <v>617</v>
      </c>
    </row>
    <row r="50" spans="1:7" s="29" customFormat="1" ht="15" customHeight="1">
      <c r="A50" s="191"/>
      <c r="B50" s="192"/>
      <c r="C50" s="369" t="s">
        <v>689</v>
      </c>
      <c r="D50" s="374"/>
      <c r="E50" s="296">
        <v>1</v>
      </c>
      <c r="F50" s="285"/>
      <c r="G50" s="373"/>
    </row>
    <row r="51" spans="1:7" s="29" customFormat="1" ht="15" customHeight="1">
      <c r="A51" s="191"/>
      <c r="B51" s="192"/>
      <c r="C51" s="369" t="s">
        <v>688</v>
      </c>
      <c r="D51" s="374"/>
      <c r="E51" s="296">
        <v>1</v>
      </c>
      <c r="F51" s="285"/>
      <c r="G51" s="373"/>
    </row>
    <row r="52" spans="1:7" s="29" customFormat="1" ht="15" customHeight="1">
      <c r="A52" s="191"/>
      <c r="B52" s="192"/>
      <c r="C52" s="370" t="s">
        <v>711</v>
      </c>
      <c r="D52" s="374"/>
      <c r="E52" s="372">
        <f>E50/E51</f>
        <v>1</v>
      </c>
      <c r="F52" s="285"/>
      <c r="G52" s="373"/>
    </row>
    <row r="53" spans="1:7" s="29" customFormat="1" ht="15.75" thickBot="1">
      <c r="A53" s="292"/>
      <c r="B53" s="291"/>
      <c r="C53" s="541" t="s">
        <v>140</v>
      </c>
      <c r="D53" s="542"/>
      <c r="E53" s="298">
        <f>IF(E52&lt;1,"Salah Isi",IF(E52&lt;=4,E52,"Salah Isi"))</f>
        <v>1</v>
      </c>
      <c r="F53" s="285"/>
      <c r="G53" s="301"/>
    </row>
    <row r="54" spans="1:7" s="29" customFormat="1" ht="15.75" thickBot="1">
      <c r="A54" s="292"/>
      <c r="B54" s="291"/>
      <c r="C54" s="285"/>
      <c r="D54" s="285"/>
      <c r="E54" s="292"/>
      <c r="F54" s="285"/>
      <c r="G54" s="301"/>
    </row>
    <row r="55" spans="1:7" s="29" customFormat="1" ht="27" customHeight="1" thickBot="1">
      <c r="A55" s="191">
        <v>15</v>
      </c>
      <c r="B55" s="192" t="s">
        <v>13</v>
      </c>
      <c r="C55" s="442" t="s">
        <v>104</v>
      </c>
      <c r="D55" s="443"/>
      <c r="E55" s="295">
        <v>2</v>
      </c>
      <c r="F55" s="285"/>
      <c r="G55" s="331" t="s">
        <v>511</v>
      </c>
    </row>
    <row r="56" spans="1:7" s="29" customFormat="1" ht="15.75" thickBot="1">
      <c r="A56" s="292"/>
      <c r="B56" s="291"/>
      <c r="C56" s="559" t="s">
        <v>140</v>
      </c>
      <c r="D56" s="560"/>
      <c r="E56" s="298">
        <f>IF(E55&lt;0,"Salah Isi",IF(E55&lt;=4,E55,"Salah Isi"))</f>
        <v>2</v>
      </c>
      <c r="F56" s="285"/>
      <c r="G56" s="301"/>
    </row>
    <row r="57" spans="1:7" s="29" customFormat="1" ht="15.75" thickBot="1">
      <c r="A57" s="292"/>
      <c r="B57" s="291"/>
      <c r="C57" s="285"/>
      <c r="D57" s="285"/>
      <c r="E57" s="292"/>
      <c r="F57" s="285"/>
      <c r="G57" s="301"/>
    </row>
    <row r="58" spans="1:7" s="29" customFormat="1" ht="27" customHeight="1" thickBot="1">
      <c r="A58" s="191">
        <v>16</v>
      </c>
      <c r="B58" s="192" t="s">
        <v>105</v>
      </c>
      <c r="C58" s="442" t="s">
        <v>570</v>
      </c>
      <c r="D58" s="443"/>
      <c r="E58" s="309"/>
      <c r="F58" s="285"/>
      <c r="G58" s="331" t="s">
        <v>618</v>
      </c>
    </row>
    <row r="59" spans="1:7" ht="15">
      <c r="A59" s="292"/>
      <c r="B59" s="291"/>
      <c r="C59" s="310" t="s">
        <v>680</v>
      </c>
      <c r="D59" s="286"/>
      <c r="E59" s="296">
        <v>2</v>
      </c>
      <c r="F59" s="285" t="str">
        <f>IF(E59&lt;2,"Salah",IF(E59&lt;=4,"Benar","Salah"))</f>
        <v>Benar</v>
      </c>
      <c r="G59" s="301"/>
    </row>
    <row r="60" spans="1:7" ht="15.75" thickBot="1">
      <c r="A60" s="292"/>
      <c r="B60" s="291"/>
      <c r="C60" s="559" t="s">
        <v>140</v>
      </c>
      <c r="D60" s="560"/>
      <c r="E60" s="298">
        <f>IF(E59&lt;2,"Salah Isi",IF(E59&lt;=4,E59,"Salah Isi"))</f>
        <v>2</v>
      </c>
      <c r="F60" s="285"/>
      <c r="G60" s="301"/>
    </row>
    <row r="61" spans="1:7" ht="15.75" thickBot="1">
      <c r="A61" s="292"/>
      <c r="B61" s="291"/>
      <c r="C61" s="285"/>
      <c r="D61" s="285"/>
      <c r="E61" s="292"/>
      <c r="F61" s="285"/>
      <c r="G61" s="301"/>
    </row>
    <row r="62" spans="1:7" s="29" customFormat="1" ht="27.75" customHeight="1" thickBot="1">
      <c r="A62" s="191">
        <v>17</v>
      </c>
      <c r="B62" s="192" t="s">
        <v>571</v>
      </c>
      <c r="C62" s="442" t="s">
        <v>713</v>
      </c>
      <c r="D62" s="443"/>
      <c r="E62" s="309"/>
      <c r="F62" s="285"/>
      <c r="G62" s="331" t="s">
        <v>498</v>
      </c>
    </row>
    <row r="63" spans="1:7" s="29" customFormat="1" ht="15">
      <c r="A63" s="292"/>
      <c r="B63" s="291"/>
      <c r="C63" s="310" t="s">
        <v>336</v>
      </c>
      <c r="D63" s="286"/>
      <c r="E63" s="296">
        <v>96</v>
      </c>
      <c r="F63" s="285"/>
      <c r="G63" s="301"/>
    </row>
    <row r="64" spans="1:7" s="29" customFormat="1" ht="15">
      <c r="A64" s="292"/>
      <c r="B64" s="291"/>
      <c r="C64" s="310" t="s">
        <v>337</v>
      </c>
      <c r="D64" s="286"/>
      <c r="E64" s="296">
        <v>12</v>
      </c>
      <c r="F64" s="285"/>
      <c r="G64" s="301"/>
    </row>
    <row r="65" spans="1:7" s="29" customFormat="1" ht="15">
      <c r="A65" s="292"/>
      <c r="B65" s="291"/>
      <c r="C65" s="310" t="s">
        <v>338</v>
      </c>
      <c r="D65" s="286"/>
      <c r="E65" s="296">
        <v>0</v>
      </c>
      <c r="F65" s="285"/>
      <c r="G65" s="301"/>
    </row>
    <row r="66" spans="1:7" s="29" customFormat="1" ht="15">
      <c r="A66" s="292"/>
      <c r="B66" s="291"/>
      <c r="C66" s="310" t="s">
        <v>339</v>
      </c>
      <c r="D66" s="286"/>
      <c r="E66" s="297">
        <f>SUM(E63:E65)</f>
        <v>108</v>
      </c>
      <c r="F66" s="285"/>
      <c r="G66" s="301"/>
    </row>
    <row r="67" spans="1:7" s="29" customFormat="1" ht="15">
      <c r="A67" s="300"/>
      <c r="B67" s="299"/>
      <c r="C67" s="310" t="s">
        <v>281</v>
      </c>
      <c r="D67" s="286"/>
      <c r="E67" s="297">
        <f>((E64+E65)/E66)*100</f>
        <v>11.11111111111111</v>
      </c>
      <c r="F67" s="285"/>
      <c r="G67" s="301"/>
    </row>
    <row r="68" spans="1:7" s="29" customFormat="1" ht="15">
      <c r="A68" s="292"/>
      <c r="B68" s="291"/>
      <c r="C68" s="313" t="s">
        <v>147</v>
      </c>
      <c r="D68" s="286" t="s">
        <v>282</v>
      </c>
      <c r="E68" s="296">
        <v>25</v>
      </c>
      <c r="F68" s="285"/>
      <c r="G68" s="301"/>
    </row>
    <row r="69" spans="1:7" s="29" customFormat="1" ht="15">
      <c r="A69" s="292"/>
      <c r="B69" s="291"/>
      <c r="C69" s="313" t="s">
        <v>148</v>
      </c>
      <c r="D69" s="286" t="s">
        <v>283</v>
      </c>
      <c r="E69" s="296">
        <v>0</v>
      </c>
      <c r="F69" s="285"/>
      <c r="G69" s="301"/>
    </row>
    <row r="70" spans="1:7" s="29" customFormat="1" ht="15">
      <c r="A70" s="292"/>
      <c r="B70" s="291"/>
      <c r="C70" s="313" t="s">
        <v>163</v>
      </c>
      <c r="D70" s="286" t="s">
        <v>284</v>
      </c>
      <c r="E70" s="296">
        <v>6</v>
      </c>
      <c r="F70" s="285"/>
      <c r="G70" s="301"/>
    </row>
    <row r="71" spans="1:7" s="29" customFormat="1" ht="15">
      <c r="A71" s="292"/>
      <c r="B71" s="291"/>
      <c r="C71" s="313" t="s">
        <v>149</v>
      </c>
      <c r="D71" s="286" t="s">
        <v>285</v>
      </c>
      <c r="E71" s="297">
        <f>(0.75*E68+1.25*E69)/E70</f>
        <v>3.125</v>
      </c>
      <c r="F71" s="285"/>
      <c r="G71" s="301"/>
    </row>
    <row r="72" spans="1:7" s="29" customFormat="1" ht="15.75" thickBot="1">
      <c r="A72" s="292"/>
      <c r="B72" s="291"/>
      <c r="C72" s="314" t="s">
        <v>140</v>
      </c>
      <c r="D72" s="307"/>
      <c r="E72" s="298">
        <f>IF(E67&gt;90,4,IF(E71&lt;=4,E71,4))</f>
        <v>3.125</v>
      </c>
      <c r="F72" s="285"/>
      <c r="G72" s="301"/>
    </row>
    <row r="73" spans="1:7" s="29" customFormat="1" ht="15.75" thickBot="1">
      <c r="A73" s="292"/>
      <c r="B73" s="291"/>
      <c r="C73" s="285"/>
      <c r="D73" s="285"/>
      <c r="E73" s="292"/>
      <c r="F73" s="285"/>
      <c r="G73" s="301"/>
    </row>
    <row r="74" spans="1:7" s="29" customFormat="1" ht="42" customHeight="1" thickBot="1">
      <c r="A74" s="191">
        <v>18</v>
      </c>
      <c r="B74" s="192" t="s">
        <v>106</v>
      </c>
      <c r="C74" s="442" t="s">
        <v>712</v>
      </c>
      <c r="D74" s="443"/>
      <c r="E74" s="295">
        <v>2</v>
      </c>
      <c r="F74" s="285"/>
      <c r="G74" s="331" t="s">
        <v>511</v>
      </c>
    </row>
    <row r="75" spans="1:7" s="29" customFormat="1" ht="15.75" thickBot="1">
      <c r="A75" s="292"/>
      <c r="B75" s="291"/>
      <c r="C75" s="559" t="s">
        <v>140</v>
      </c>
      <c r="D75" s="560"/>
      <c r="E75" s="298">
        <f>IF(E67&gt;90,4,IF(E74&lt;0,"Salah Isi",IF(E74&lt;=4,E74,"Salah Isi")))</f>
        <v>2</v>
      </c>
      <c r="F75" s="285"/>
      <c r="G75" s="301"/>
    </row>
    <row r="76" spans="1:7" s="29" customFormat="1" ht="15.75" thickBot="1">
      <c r="A76" s="292"/>
      <c r="B76" s="291"/>
      <c r="C76" s="285"/>
      <c r="D76" s="285"/>
      <c r="E76" s="292"/>
      <c r="F76" s="285"/>
      <c r="G76" s="301"/>
    </row>
    <row r="77" spans="1:7" s="29" customFormat="1" ht="14.25" customHeight="1" thickBot="1">
      <c r="A77" s="191">
        <v>19</v>
      </c>
      <c r="B77" s="192" t="s">
        <v>332</v>
      </c>
      <c r="C77" s="442" t="s">
        <v>574</v>
      </c>
      <c r="D77" s="443"/>
      <c r="E77" s="295">
        <v>0</v>
      </c>
      <c r="F77" s="285"/>
      <c r="G77" s="331" t="s">
        <v>618</v>
      </c>
    </row>
    <row r="78" spans="1:7" s="29" customFormat="1" ht="15.75" thickBot="1">
      <c r="A78" s="292"/>
      <c r="B78" s="291"/>
      <c r="C78" s="559" t="s">
        <v>140</v>
      </c>
      <c r="D78" s="560"/>
      <c r="E78" s="298">
        <f>IF(E77&lt;0,"Salah Isi",IF(E77&lt;1,1,IF(E77&lt;=4,E77,"Salah Isi")))</f>
        <v>1</v>
      </c>
      <c r="F78" s="285"/>
      <c r="G78" s="301"/>
    </row>
    <row r="79" spans="1:7" s="29" customFormat="1" ht="15.75" thickBot="1">
      <c r="A79" s="292"/>
      <c r="B79" s="291"/>
      <c r="C79" s="285"/>
      <c r="D79" s="285"/>
      <c r="E79" s="292"/>
      <c r="F79" s="285"/>
      <c r="G79" s="301"/>
    </row>
    <row r="80" spans="1:7" s="29" customFormat="1" ht="41.25" customHeight="1" thickBot="1">
      <c r="A80" s="191">
        <v>20</v>
      </c>
      <c r="B80" s="192" t="s">
        <v>333</v>
      </c>
      <c r="C80" s="454" t="s">
        <v>575</v>
      </c>
      <c r="D80" s="455"/>
      <c r="E80" s="295">
        <v>1</v>
      </c>
      <c r="F80" s="285"/>
      <c r="G80" s="331" t="s">
        <v>529</v>
      </c>
    </row>
    <row r="81" spans="1:7" s="29" customFormat="1" ht="15.75" thickBot="1">
      <c r="A81" s="292"/>
      <c r="B81" s="291"/>
      <c r="C81" s="559" t="s">
        <v>140</v>
      </c>
      <c r="D81" s="560"/>
      <c r="E81" s="298">
        <f>IF(E80&lt;0,"Salah Isi",IF(E80&lt;=4,E80,"Salah Isi"))</f>
        <v>1</v>
      </c>
      <c r="F81" s="285"/>
      <c r="G81" s="301"/>
    </row>
    <row r="82" spans="1:7" s="29" customFormat="1" ht="15.75" thickBot="1">
      <c r="A82" s="292"/>
      <c r="B82" s="291"/>
      <c r="C82" s="285"/>
      <c r="D82" s="285"/>
      <c r="E82" s="292"/>
      <c r="F82" s="285"/>
      <c r="G82" s="301"/>
    </row>
    <row r="83" spans="1:7" s="29" customFormat="1" ht="39.75" customHeight="1" thickBot="1">
      <c r="A83" s="191">
        <v>21</v>
      </c>
      <c r="B83" s="192" t="s">
        <v>334</v>
      </c>
      <c r="C83" s="454" t="s">
        <v>576</v>
      </c>
      <c r="D83" s="455"/>
      <c r="E83" s="295">
        <v>3</v>
      </c>
      <c r="F83" s="285"/>
      <c r="G83" s="331" t="s">
        <v>619</v>
      </c>
    </row>
    <row r="84" spans="1:7" s="29" customFormat="1" ht="15.75" thickBot="1">
      <c r="A84" s="292"/>
      <c r="B84" s="291"/>
      <c r="C84" s="559" t="s">
        <v>140</v>
      </c>
      <c r="D84" s="560"/>
      <c r="E84" s="298">
        <f>IF(E83&lt;0,"Salah Isi",IF(E83&lt;=4,E83,"Salah Isi"))</f>
        <v>3</v>
      </c>
      <c r="F84" s="285"/>
      <c r="G84" s="301"/>
    </row>
    <row r="85" spans="1:7" s="29" customFormat="1" ht="15.75" thickBot="1">
      <c r="A85" s="292"/>
      <c r="B85" s="291"/>
      <c r="C85" s="285"/>
      <c r="D85" s="285"/>
      <c r="E85" s="292"/>
      <c r="F85" s="285"/>
      <c r="G85" s="301"/>
    </row>
    <row r="86" spans="1:7" s="29" customFormat="1" ht="26.25" customHeight="1" thickBot="1">
      <c r="A86" s="191">
        <v>22</v>
      </c>
      <c r="B86" s="192" t="s">
        <v>287</v>
      </c>
      <c r="C86" s="454" t="s">
        <v>577</v>
      </c>
      <c r="D86" s="455"/>
      <c r="E86" s="309"/>
      <c r="F86" s="285"/>
      <c r="G86" s="331" t="s">
        <v>620</v>
      </c>
    </row>
    <row r="87" spans="1:7" s="29" customFormat="1" ht="18" customHeight="1">
      <c r="A87" s="191"/>
      <c r="B87" s="192"/>
      <c r="C87" s="376" t="s">
        <v>681</v>
      </c>
      <c r="D87" s="375"/>
      <c r="E87" s="377">
        <v>2</v>
      </c>
      <c r="F87" s="285" t="str">
        <f>IF(E87&lt;1,"Salah",IF(E87&lt;=4,"Benar","Salah"))</f>
        <v>Benar</v>
      </c>
      <c r="G87" s="373"/>
    </row>
    <row r="88" spans="1:7" s="29" customFormat="1" ht="18" customHeight="1">
      <c r="A88" s="191"/>
      <c r="B88" s="192"/>
      <c r="C88" s="376" t="s">
        <v>682</v>
      </c>
      <c r="D88" s="375"/>
      <c r="E88" s="377">
        <v>3</v>
      </c>
      <c r="F88" s="285" t="str">
        <f>IF(E88&lt;1,"Salah",IF(E88&lt;=4,"Benar","Salah"))</f>
        <v>Benar</v>
      </c>
      <c r="G88" s="373"/>
    </row>
    <row r="89" spans="1:7" s="29" customFormat="1" ht="18" customHeight="1">
      <c r="A89" s="191"/>
      <c r="B89" s="192"/>
      <c r="C89" s="376" t="s">
        <v>683</v>
      </c>
      <c r="D89" s="375"/>
      <c r="E89" s="377">
        <v>2</v>
      </c>
      <c r="F89" s="285" t="str">
        <f>IF(E89&lt;1,"Salah",IF(E89&lt;=4,"Benar","Salah"))</f>
        <v>Benar</v>
      </c>
      <c r="G89" s="373"/>
    </row>
    <row r="90" spans="1:7" s="29" customFormat="1" ht="18" customHeight="1">
      <c r="A90" s="191"/>
      <c r="B90" s="192"/>
      <c r="C90" s="376" t="s">
        <v>684</v>
      </c>
      <c r="D90" s="375"/>
      <c r="E90" s="377">
        <v>4</v>
      </c>
      <c r="F90" s="285" t="str">
        <f>IF(E90&lt;1,"Salah",IF(E90&lt;=4,"Benar","Salah"))</f>
        <v>Benar</v>
      </c>
      <c r="G90" s="373"/>
    </row>
    <row r="91" spans="1:7" ht="15">
      <c r="A91" s="292"/>
      <c r="B91" s="291"/>
      <c r="C91" s="310" t="s">
        <v>685</v>
      </c>
      <c r="D91" s="286"/>
      <c r="E91" s="297">
        <f>SUM(E87:E90)/4</f>
        <v>2.75</v>
      </c>
      <c r="F91" s="285"/>
      <c r="G91" s="301"/>
    </row>
    <row r="92" spans="1:7" ht="15.75" thickBot="1">
      <c r="A92" s="292"/>
      <c r="B92" s="291"/>
      <c r="C92" s="541" t="s">
        <v>140</v>
      </c>
      <c r="D92" s="542"/>
      <c r="E92" s="298">
        <f>IF(E91&lt;1,"Salah Isi",IF(E91&lt;=4,E91,"Salah Isi"))</f>
        <v>2.75</v>
      </c>
      <c r="F92" s="285"/>
      <c r="G92" s="301"/>
    </row>
    <row r="93" spans="1:7" s="29" customFormat="1" ht="15.75" thickBot="1">
      <c r="A93" s="292"/>
      <c r="B93" s="291"/>
      <c r="C93" s="288"/>
      <c r="D93" s="288"/>
      <c r="E93" s="294"/>
      <c r="F93" s="285"/>
      <c r="G93" s="301"/>
    </row>
    <row r="94" spans="1:7" s="29" customFormat="1" ht="27.75" customHeight="1" thickBot="1">
      <c r="A94" s="191">
        <v>23</v>
      </c>
      <c r="B94" s="192" t="s">
        <v>578</v>
      </c>
      <c r="C94" s="442" t="s">
        <v>579</v>
      </c>
      <c r="D94" s="443"/>
      <c r="E94" s="315"/>
      <c r="F94" s="285"/>
      <c r="G94" s="331" t="s">
        <v>481</v>
      </c>
    </row>
    <row r="95" spans="1:7" s="29" customFormat="1" ht="15">
      <c r="A95" s="292"/>
      <c r="B95" s="291"/>
      <c r="C95" s="316" t="s">
        <v>621</v>
      </c>
      <c r="D95" s="287"/>
      <c r="E95" s="296">
        <v>1</v>
      </c>
      <c r="F95" s="285"/>
      <c r="G95" s="301"/>
    </row>
    <row r="96" spans="1:7" s="29" customFormat="1" ht="15">
      <c r="A96" s="292"/>
      <c r="B96" s="291"/>
      <c r="C96" s="316" t="s">
        <v>622</v>
      </c>
      <c r="D96" s="287"/>
      <c r="E96" s="296">
        <v>1</v>
      </c>
      <c r="F96" s="285"/>
      <c r="G96" s="301"/>
    </row>
    <row r="97" spans="1:7" s="29" customFormat="1" ht="15">
      <c r="A97" s="292"/>
      <c r="B97" s="291"/>
      <c r="C97" s="562" t="s">
        <v>220</v>
      </c>
      <c r="D97" s="561"/>
      <c r="E97" s="297">
        <f>IF(E95&gt;E96,"Salah Isi",E95/E96)</f>
        <v>1</v>
      </c>
      <c r="F97" s="285"/>
      <c r="G97" s="301"/>
    </row>
    <row r="98" spans="1:7" s="29" customFormat="1" ht="15.75" thickBot="1">
      <c r="A98" s="292"/>
      <c r="B98" s="291"/>
      <c r="C98" s="541" t="s">
        <v>140</v>
      </c>
      <c r="D98" s="542"/>
      <c r="E98" s="379">
        <f>IF(E97&lt;=30%,4,40*(1-E97)/7)</f>
        <v>0</v>
      </c>
      <c r="F98" s="285"/>
      <c r="G98" s="301"/>
    </row>
    <row r="99" spans="1:7" ht="15.75" thickBot="1">
      <c r="A99" s="292"/>
      <c r="B99" s="291"/>
      <c r="C99" s="285"/>
      <c r="D99" s="285"/>
      <c r="E99" s="292"/>
      <c r="F99" s="285"/>
      <c r="G99" s="301"/>
    </row>
    <row r="100" spans="1:7" s="29" customFormat="1" ht="15" customHeight="1" thickBot="1">
      <c r="A100" s="191">
        <v>24</v>
      </c>
      <c r="B100" s="192" t="s">
        <v>580</v>
      </c>
      <c r="C100" s="442" t="s">
        <v>445</v>
      </c>
      <c r="D100" s="443"/>
      <c r="E100" s="309"/>
      <c r="F100" s="285"/>
      <c r="G100" s="331" t="s">
        <v>481</v>
      </c>
    </row>
    <row r="101" spans="1:7" ht="15">
      <c r="A101" s="292"/>
      <c r="B101" s="291"/>
      <c r="C101" s="310" t="s">
        <v>288</v>
      </c>
      <c r="D101" s="286" t="s">
        <v>289</v>
      </c>
      <c r="E101" s="296">
        <v>0</v>
      </c>
      <c r="F101" s="285" t="s">
        <v>486</v>
      </c>
      <c r="G101" s="301"/>
    </row>
    <row r="102" spans="1:7" ht="15.75" thickBot="1">
      <c r="A102" s="292"/>
      <c r="B102" s="291"/>
      <c r="C102" s="541" t="s">
        <v>140</v>
      </c>
      <c r="D102" s="542"/>
      <c r="E102" s="298">
        <f>IF(E101&gt;=15,4,E101/3.75)</f>
        <v>0</v>
      </c>
      <c r="F102" s="285"/>
      <c r="G102" s="301"/>
    </row>
    <row r="103" spans="1:7" ht="15.75" thickBot="1">
      <c r="A103" s="292"/>
      <c r="B103" s="291"/>
      <c r="C103" s="285"/>
      <c r="D103" s="285"/>
      <c r="E103" s="292"/>
      <c r="F103" s="285"/>
      <c r="G103" s="301"/>
    </row>
    <row r="104" spans="1:7" s="29" customFormat="1" ht="16.5" customHeight="1" thickBot="1">
      <c r="A104" s="191">
        <v>25</v>
      </c>
      <c r="B104" s="192" t="s">
        <v>581</v>
      </c>
      <c r="C104" s="442" t="s">
        <v>582</v>
      </c>
      <c r="D104" s="443"/>
      <c r="E104" s="309"/>
      <c r="F104" s="285"/>
      <c r="G104" s="331" t="s">
        <v>623</v>
      </c>
    </row>
    <row r="105" spans="1:7" ht="15">
      <c r="A105" s="292"/>
      <c r="B105" s="291"/>
      <c r="C105" s="310" t="s">
        <v>290</v>
      </c>
      <c r="D105" s="286" t="s">
        <v>291</v>
      </c>
      <c r="E105" s="296">
        <v>2</v>
      </c>
      <c r="F105" s="285" t="s">
        <v>486</v>
      </c>
      <c r="G105" s="301"/>
    </row>
    <row r="106" spans="1:7" ht="15.75" thickBot="1">
      <c r="A106" s="292"/>
      <c r="B106" s="291"/>
      <c r="C106" s="541" t="s">
        <v>140</v>
      </c>
      <c r="D106" s="542"/>
      <c r="E106" s="298">
        <f>IF(E105=0,0,IF(E105&lt;2,1+1.5*E105,4))</f>
        <v>4</v>
      </c>
      <c r="F106" s="285"/>
      <c r="G106" s="301"/>
    </row>
    <row r="107" spans="1:7" ht="15.75" thickBot="1">
      <c r="A107" s="292"/>
      <c r="B107" s="291"/>
      <c r="C107" s="285"/>
      <c r="D107" s="285"/>
      <c r="E107" s="292"/>
      <c r="F107" s="285"/>
      <c r="G107" s="301"/>
    </row>
    <row r="108" spans="1:7" s="29" customFormat="1" ht="27" customHeight="1" thickBot="1">
      <c r="A108" s="191">
        <v>26</v>
      </c>
      <c r="B108" s="192" t="s">
        <v>583</v>
      </c>
      <c r="C108" s="442" t="s">
        <v>584</v>
      </c>
      <c r="D108" s="443"/>
      <c r="E108" s="309"/>
      <c r="F108" s="285"/>
      <c r="G108" s="331" t="s">
        <v>543</v>
      </c>
    </row>
    <row r="109" spans="1:7" ht="15">
      <c r="A109" s="292"/>
      <c r="B109" s="291"/>
      <c r="C109" s="310" t="s">
        <v>292</v>
      </c>
      <c r="D109" s="286" t="s">
        <v>256</v>
      </c>
      <c r="E109" s="296">
        <v>0</v>
      </c>
      <c r="F109" s="285" t="s">
        <v>486</v>
      </c>
      <c r="G109" s="301"/>
    </row>
    <row r="110" spans="1:7" ht="15.75" thickBot="1">
      <c r="A110" s="292"/>
      <c r="B110" s="291"/>
      <c r="C110" s="541" t="s">
        <v>140</v>
      </c>
      <c r="D110" s="542"/>
      <c r="E110" s="298">
        <f>IF(E109=0,0,IF(E109&lt;4,1+0.75*E109,4))</f>
        <v>0</v>
      </c>
      <c r="F110" s="285"/>
      <c r="G110" s="301"/>
    </row>
    <row r="111" spans="1:7" s="29" customFormat="1" ht="15.75" thickBot="1">
      <c r="A111" s="292"/>
      <c r="B111" s="291"/>
      <c r="C111" s="289"/>
      <c r="D111" s="290"/>
      <c r="E111" s="294"/>
      <c r="F111" s="285"/>
      <c r="G111" s="301"/>
    </row>
    <row r="112" spans="1:7" s="29" customFormat="1" ht="17.25" customHeight="1" thickBot="1">
      <c r="A112" s="191">
        <v>27</v>
      </c>
      <c r="B112" s="192" t="s">
        <v>585</v>
      </c>
      <c r="C112" s="442" t="s">
        <v>586</v>
      </c>
      <c r="D112" s="443"/>
      <c r="E112" s="295">
        <v>0</v>
      </c>
      <c r="F112" s="285"/>
      <c r="G112" s="331" t="s">
        <v>618</v>
      </c>
    </row>
    <row r="113" spans="1:7" s="29" customFormat="1" ht="15.75" thickBot="1">
      <c r="A113" s="292"/>
      <c r="B113" s="291"/>
      <c r="C113" s="541" t="s">
        <v>140</v>
      </c>
      <c r="D113" s="542"/>
      <c r="E113" s="298">
        <f>IF(E112&lt;0,"Salah Isi",IF(E112&lt;1,1,IF(E112&lt;=4,E112,"Salah Isi")))</f>
        <v>1</v>
      </c>
      <c r="F113" s="285"/>
      <c r="G113" s="301"/>
    </row>
    <row r="114" spans="1:7" s="29" customFormat="1" ht="15.75" thickBot="1">
      <c r="A114" s="292"/>
      <c r="B114" s="291"/>
      <c r="C114" s="289"/>
      <c r="D114" s="290"/>
      <c r="E114" s="294"/>
      <c r="F114" s="285"/>
      <c r="G114" s="301"/>
    </row>
    <row r="115" spans="1:7" s="29" customFormat="1" ht="15.75" thickBot="1">
      <c r="A115" s="191">
        <v>28</v>
      </c>
      <c r="B115" s="192" t="s">
        <v>587</v>
      </c>
      <c r="C115" s="317" t="s">
        <v>335</v>
      </c>
      <c r="D115" s="312"/>
      <c r="E115" s="295">
        <v>2</v>
      </c>
      <c r="F115" s="285"/>
      <c r="G115" s="331" t="s">
        <v>511</v>
      </c>
    </row>
    <row r="116" spans="1:7" s="29" customFormat="1" ht="15.75" thickBot="1">
      <c r="A116" s="292"/>
      <c r="B116" s="291"/>
      <c r="C116" s="535" t="s">
        <v>140</v>
      </c>
      <c r="D116" s="536"/>
      <c r="E116" s="298">
        <f>IF(E113=4,4,IF(E115&lt;0,"Salah Isi",IF(E115&lt;=4,E115,"Salah Isi")))</f>
        <v>2</v>
      </c>
      <c r="F116" s="285"/>
      <c r="G116" s="301"/>
    </row>
    <row r="117" spans="1:7" s="29" customFormat="1" ht="15.75" thickBot="1">
      <c r="A117" s="292"/>
      <c r="B117" s="291"/>
      <c r="C117" s="289"/>
      <c r="D117" s="290"/>
      <c r="E117" s="294"/>
      <c r="F117" s="285"/>
      <c r="G117" s="301"/>
    </row>
    <row r="118" spans="1:7" s="29" customFormat="1" ht="27" customHeight="1" thickBot="1">
      <c r="A118" s="191">
        <v>29</v>
      </c>
      <c r="B118" s="192" t="s">
        <v>41</v>
      </c>
      <c r="C118" s="442" t="s">
        <v>107</v>
      </c>
      <c r="D118" s="443"/>
      <c r="E118" s="295">
        <v>3</v>
      </c>
      <c r="F118" s="285"/>
      <c r="G118" s="331" t="s">
        <v>624</v>
      </c>
    </row>
    <row r="119" spans="1:7" s="29" customFormat="1" ht="15.75" thickBot="1">
      <c r="A119" s="292"/>
      <c r="B119" s="291"/>
      <c r="C119" s="541" t="s">
        <v>140</v>
      </c>
      <c r="D119" s="542"/>
      <c r="E119" s="298">
        <f>IF(E118&lt;0,"Salah Isi",IF(E118&lt;=4,E118,"Salah Isi"))</f>
        <v>3</v>
      </c>
      <c r="F119" s="285"/>
      <c r="G119" s="301"/>
    </row>
    <row r="120" spans="1:7" s="29" customFormat="1" ht="15.75" thickBot="1">
      <c r="A120" s="292"/>
      <c r="B120" s="291"/>
      <c r="C120" s="289"/>
      <c r="D120" s="290"/>
      <c r="E120" s="294"/>
      <c r="F120" s="285"/>
      <c r="G120" s="301"/>
    </row>
    <row r="121" spans="1:7" s="29" customFormat="1" ht="17.25" customHeight="1" thickBot="1">
      <c r="A121" s="191">
        <v>30</v>
      </c>
      <c r="B121" s="192" t="s">
        <v>42</v>
      </c>
      <c r="C121" s="442" t="s">
        <v>589</v>
      </c>
      <c r="D121" s="443"/>
      <c r="E121" s="295">
        <v>2</v>
      </c>
      <c r="F121" s="285"/>
      <c r="G121" s="331" t="s">
        <v>625</v>
      </c>
    </row>
    <row r="122" spans="1:7" s="29" customFormat="1" ht="15.75" thickBot="1">
      <c r="A122" s="292"/>
      <c r="B122" s="291"/>
      <c r="C122" s="541" t="s">
        <v>140</v>
      </c>
      <c r="D122" s="542"/>
      <c r="E122" s="298">
        <f>IF(E121&lt;0,"Salah Isi",IF(E121&lt;=4,E121,"Salah Isi"))</f>
        <v>2</v>
      </c>
      <c r="F122" s="285"/>
      <c r="G122" s="301"/>
    </row>
    <row r="123" spans="1:7" s="29" customFormat="1" ht="15.75" thickBot="1">
      <c r="A123" s="292"/>
      <c r="B123" s="291"/>
      <c r="C123" s="289"/>
      <c r="D123" s="290"/>
      <c r="E123" s="294"/>
      <c r="F123" s="285"/>
      <c r="G123" s="301"/>
    </row>
    <row r="124" spans="1:7" s="29" customFormat="1" ht="27" customHeight="1" thickBot="1">
      <c r="A124" s="191">
        <v>31</v>
      </c>
      <c r="B124" s="192" t="s">
        <v>44</v>
      </c>
      <c r="C124" s="454" t="s">
        <v>590</v>
      </c>
      <c r="D124" s="455"/>
      <c r="E124" s="295">
        <v>0</v>
      </c>
      <c r="F124" s="285"/>
      <c r="G124" s="331" t="s">
        <v>525</v>
      </c>
    </row>
    <row r="125" spans="1:7" s="29" customFormat="1" ht="15.75" thickBot="1">
      <c r="A125" s="292"/>
      <c r="B125" s="291"/>
      <c r="C125" s="541" t="s">
        <v>140</v>
      </c>
      <c r="D125" s="542"/>
      <c r="E125" s="298">
        <f>IF(E124&lt;0,"Salah Isi",IF(E124&lt;1,1,IF(E124&lt;=4,E124,"Salah Isi")))</f>
        <v>1</v>
      </c>
      <c r="F125" s="285"/>
      <c r="G125" s="301"/>
    </row>
    <row r="126" spans="1:7" s="29" customFormat="1" ht="15.75" thickBot="1">
      <c r="A126" s="292"/>
      <c r="B126" s="291"/>
      <c r="C126" s="289"/>
      <c r="D126" s="290"/>
      <c r="E126" s="294"/>
      <c r="F126" s="285"/>
      <c r="G126" s="301"/>
    </row>
    <row r="127" spans="1:7" s="29" customFormat="1" ht="25.5" customHeight="1" thickBot="1">
      <c r="A127" s="191">
        <v>32</v>
      </c>
      <c r="B127" s="192" t="s">
        <v>45</v>
      </c>
      <c r="C127" s="442" t="s">
        <v>591</v>
      </c>
      <c r="D127" s="443"/>
      <c r="E127" s="295">
        <v>1</v>
      </c>
      <c r="F127" s="285"/>
      <c r="G127" s="331" t="s">
        <v>625</v>
      </c>
    </row>
    <row r="128" spans="1:7" s="29" customFormat="1" ht="15.75" thickBot="1">
      <c r="A128" s="292"/>
      <c r="B128" s="291"/>
      <c r="C128" s="541" t="s">
        <v>140</v>
      </c>
      <c r="D128" s="542"/>
      <c r="E128" s="298">
        <f>IF(E125=4,4,IF(E127&lt;0,"Salah Isi",IF(E127&lt;=4,E127,"Salah Isi")))</f>
        <v>1</v>
      </c>
      <c r="F128" s="285"/>
      <c r="G128" s="301"/>
    </row>
    <row r="129" spans="1:7" s="29" customFormat="1" ht="15.75" thickBot="1">
      <c r="A129" s="292"/>
      <c r="B129" s="291"/>
      <c r="C129" s="289"/>
      <c r="D129" s="290"/>
      <c r="E129" s="294"/>
      <c r="F129" s="285"/>
      <c r="G129" s="301"/>
    </row>
    <row r="130" spans="1:7" s="29" customFormat="1" ht="27.75" customHeight="1" thickBot="1">
      <c r="A130" s="191">
        <v>33</v>
      </c>
      <c r="B130" s="192" t="s">
        <v>449</v>
      </c>
      <c r="C130" s="454" t="s">
        <v>592</v>
      </c>
      <c r="D130" s="455"/>
      <c r="E130" s="295">
        <v>1</v>
      </c>
      <c r="F130" s="285"/>
      <c r="G130" s="331" t="s">
        <v>626</v>
      </c>
    </row>
    <row r="131" spans="1:7" s="29" customFormat="1" ht="15.75" thickBot="1">
      <c r="A131" s="292"/>
      <c r="B131" s="291"/>
      <c r="C131" s="541" t="s">
        <v>140</v>
      </c>
      <c r="D131" s="542"/>
      <c r="E131" s="298">
        <f>IF(E130&lt;0,"Salah Isi",IF(E130&lt;=4,E130,"Salah Isi"))</f>
        <v>1</v>
      </c>
      <c r="F131" s="285"/>
      <c r="G131" s="301"/>
    </row>
    <row r="132" spans="1:7" s="29" customFormat="1" ht="15.75" thickBot="1">
      <c r="A132" s="292"/>
      <c r="B132" s="291"/>
      <c r="C132" s="289"/>
      <c r="D132" s="290"/>
      <c r="E132" s="294"/>
      <c r="F132" s="285"/>
      <c r="G132" s="301"/>
    </row>
    <row r="133" spans="1:7" s="29" customFormat="1" ht="27" customHeight="1" thickBot="1">
      <c r="A133" s="191">
        <v>34</v>
      </c>
      <c r="B133" s="192" t="s">
        <v>451</v>
      </c>
      <c r="C133" s="454" t="s">
        <v>593</v>
      </c>
      <c r="D133" s="455"/>
      <c r="E133" s="295">
        <v>0</v>
      </c>
      <c r="F133" s="285"/>
      <c r="G133" s="331" t="s">
        <v>626</v>
      </c>
    </row>
    <row r="134" spans="1:7" s="29" customFormat="1" ht="15.75" thickBot="1">
      <c r="A134" s="292"/>
      <c r="B134" s="291"/>
      <c r="C134" s="541" t="s">
        <v>140</v>
      </c>
      <c r="D134" s="542"/>
      <c r="E134" s="298">
        <f>IF(E133&lt;0,"Salah Isi",IF(E133&lt;1,1,IF(E133&lt;=4,E133,"Salah Isi")))</f>
        <v>1</v>
      </c>
      <c r="F134" s="285"/>
      <c r="G134" s="301"/>
    </row>
    <row r="135" spans="1:7" s="29" customFormat="1" ht="15.75" thickBot="1">
      <c r="A135" s="292"/>
      <c r="B135" s="291"/>
      <c r="C135" s="289"/>
      <c r="D135" s="290"/>
      <c r="E135" s="294"/>
      <c r="F135" s="285"/>
      <c r="G135" s="301"/>
    </row>
    <row r="136" spans="1:7" s="29" customFormat="1" ht="41.25" customHeight="1" thickBot="1">
      <c r="A136" s="191">
        <v>35</v>
      </c>
      <c r="B136" s="192" t="s">
        <v>452</v>
      </c>
      <c r="C136" s="454" t="s">
        <v>594</v>
      </c>
      <c r="D136" s="455"/>
      <c r="E136" s="295">
        <v>4</v>
      </c>
      <c r="F136" s="285"/>
      <c r="G136" s="331" t="s">
        <v>626</v>
      </c>
    </row>
    <row r="137" spans="1:7" s="29" customFormat="1" ht="18.75" customHeight="1" thickBot="1">
      <c r="A137" s="191"/>
      <c r="B137" s="192"/>
      <c r="C137" s="541" t="s">
        <v>140</v>
      </c>
      <c r="D137" s="542"/>
      <c r="E137" s="298">
        <f>IF(E136&lt;0,"Salah Isi",IF(E136&lt;=4,E136,"Salah Isi"))</f>
        <v>4</v>
      </c>
      <c r="F137" s="285"/>
      <c r="G137" s="301"/>
    </row>
    <row r="138" spans="1:7" s="29" customFormat="1" ht="18" customHeight="1" thickBot="1">
      <c r="A138" s="191"/>
      <c r="B138" s="192"/>
      <c r="C138" s="319"/>
      <c r="D138" s="319"/>
      <c r="E138" s="294"/>
      <c r="F138" s="285"/>
      <c r="G138" s="301"/>
    </row>
    <row r="139" spans="1:7" s="29" customFormat="1" ht="18" customHeight="1" thickBot="1">
      <c r="A139" s="191">
        <v>36</v>
      </c>
      <c r="B139" s="192" t="s">
        <v>47</v>
      </c>
      <c r="C139" s="442" t="s">
        <v>595</v>
      </c>
      <c r="D139" s="443"/>
      <c r="E139" s="315"/>
      <c r="F139" s="285"/>
      <c r="G139" s="331" t="s">
        <v>554</v>
      </c>
    </row>
    <row r="140" spans="1:7" ht="18" customHeight="1">
      <c r="A140" s="292"/>
      <c r="B140" s="291"/>
      <c r="C140" s="310" t="s">
        <v>329</v>
      </c>
      <c r="D140" s="286"/>
      <c r="E140" s="296">
        <v>0</v>
      </c>
      <c r="F140" s="285" t="str">
        <f>IF(E140&lt;0,"Salah",IF(E140&lt;=12,"Benar","Salah"))</f>
        <v>Benar</v>
      </c>
      <c r="G140" s="301"/>
    </row>
    <row r="141" spans="1:7" ht="15">
      <c r="A141" s="292"/>
      <c r="B141" s="291"/>
      <c r="C141" s="313" t="s">
        <v>293</v>
      </c>
      <c r="D141" s="286"/>
      <c r="E141" s="296">
        <v>10</v>
      </c>
      <c r="F141" s="285" t="str">
        <f>IF(E141&lt;0,"Salah",IF(E141&lt;=12,"Benar","Salah"))</f>
        <v>Benar</v>
      </c>
      <c r="G141" s="301"/>
    </row>
    <row r="142" spans="1:7" ht="15">
      <c r="A142" s="292"/>
      <c r="B142" s="291"/>
      <c r="C142" s="310" t="s">
        <v>330</v>
      </c>
      <c r="D142" s="286"/>
      <c r="E142" s="296">
        <v>1</v>
      </c>
      <c r="F142" s="285" t="str">
        <f>IF(E142&lt;0,"Salah",IF(E142&lt;=12,"Benar","Salah"))</f>
        <v>Benar</v>
      </c>
      <c r="G142" s="301"/>
    </row>
    <row r="143" spans="1:7" ht="15">
      <c r="A143" s="292"/>
      <c r="B143" s="291"/>
      <c r="C143" s="313" t="s">
        <v>294</v>
      </c>
      <c r="D143" s="286"/>
      <c r="E143" s="296">
        <v>0</v>
      </c>
      <c r="F143" s="285" t="str">
        <f>IF(E143&lt;0,"Salah",IF(E143&lt;=12,"Benar","Salah"))</f>
        <v>Benar</v>
      </c>
      <c r="G143" s="301"/>
    </row>
    <row r="144" spans="1:7" ht="15">
      <c r="A144" s="292"/>
      <c r="B144" s="291"/>
      <c r="C144" s="313" t="s">
        <v>264</v>
      </c>
      <c r="D144" s="286"/>
      <c r="E144" s="297">
        <f>IF((E140+E141+E142+E143)&gt;12,"Salah",(E140+2*E141+3*E142+4*E143)/12)</f>
        <v>1.9166666666666667</v>
      </c>
      <c r="F144" s="285"/>
      <c r="G144" s="301"/>
    </row>
    <row r="145" spans="1:7" ht="15.75" thickBot="1">
      <c r="A145" s="292"/>
      <c r="B145" s="291"/>
      <c r="C145" s="314" t="s">
        <v>140</v>
      </c>
      <c r="D145" s="307"/>
      <c r="E145" s="298">
        <f>E144</f>
        <v>1.9166666666666667</v>
      </c>
      <c r="F145" s="285"/>
      <c r="G145" s="301"/>
    </row>
    <row r="146" spans="1:7" ht="15">
      <c r="A146" s="292"/>
      <c r="B146" s="291"/>
      <c r="C146" s="320" t="s">
        <v>608</v>
      </c>
      <c r="D146" s="321"/>
      <c r="E146" s="322"/>
      <c r="F146" s="285"/>
      <c r="G146" s="301"/>
    </row>
    <row r="147" spans="1:7" ht="15.75" thickBot="1">
      <c r="A147" s="292"/>
      <c r="B147" s="291"/>
      <c r="C147" s="285"/>
      <c r="D147" s="285"/>
      <c r="E147" s="292"/>
      <c r="F147" s="285"/>
      <c r="G147" s="301"/>
    </row>
    <row r="148" spans="1:7" s="29" customFormat="1" ht="30" customHeight="1" thickBot="1">
      <c r="A148" s="191">
        <v>37</v>
      </c>
      <c r="B148" s="192" t="s">
        <v>49</v>
      </c>
      <c r="C148" s="442" t="s">
        <v>596</v>
      </c>
      <c r="D148" s="443"/>
      <c r="E148" s="295">
        <v>0</v>
      </c>
      <c r="F148" s="285"/>
      <c r="G148" s="331" t="s">
        <v>627</v>
      </c>
    </row>
    <row r="149" spans="1:7" s="29" customFormat="1" ht="15.75" thickBot="1">
      <c r="A149" s="292"/>
      <c r="B149" s="291"/>
      <c r="C149" s="559" t="s">
        <v>140</v>
      </c>
      <c r="D149" s="560"/>
      <c r="E149" s="298">
        <f>IF(E148&lt;0,"Salah Isi",IF(E148&lt;1,1,IF(E148&lt;=4,E148,"Salah Isi")))</f>
        <v>1</v>
      </c>
      <c r="F149" s="285"/>
      <c r="G149" s="301"/>
    </row>
    <row r="150" spans="1:7" s="29" customFormat="1" ht="15.75" thickBot="1">
      <c r="A150" s="292"/>
      <c r="B150" s="291"/>
      <c r="C150" s="285"/>
      <c r="D150" s="285"/>
      <c r="E150" s="292"/>
      <c r="F150" s="285"/>
      <c r="G150" s="301"/>
    </row>
    <row r="151" spans="1:7" s="29" customFormat="1" ht="42" customHeight="1" thickBot="1">
      <c r="A151" s="191">
        <v>38</v>
      </c>
      <c r="B151" s="192" t="s">
        <v>108</v>
      </c>
      <c r="C151" s="442" t="s">
        <v>597</v>
      </c>
      <c r="D151" s="443"/>
      <c r="E151" s="295">
        <v>3</v>
      </c>
      <c r="F151" s="285"/>
      <c r="G151" s="331" t="s">
        <v>625</v>
      </c>
    </row>
    <row r="152" spans="1:7" s="29" customFormat="1" ht="15.75" thickBot="1">
      <c r="A152" s="292"/>
      <c r="B152" s="291"/>
      <c r="C152" s="559" t="s">
        <v>140</v>
      </c>
      <c r="D152" s="560"/>
      <c r="E152" s="298">
        <f>IF(E151&lt;0,"Salah Isi",IF(E151&lt;=4,E151,"Salah Isi"))</f>
        <v>3</v>
      </c>
      <c r="F152" s="285"/>
      <c r="G152" s="301"/>
    </row>
    <row r="153" spans="1:7" s="29" customFormat="1" ht="15.75" thickBot="1">
      <c r="A153" s="292"/>
      <c r="B153" s="291"/>
      <c r="C153" s="285"/>
      <c r="D153" s="285"/>
      <c r="E153" s="292"/>
      <c r="F153" s="285"/>
      <c r="G153" s="301"/>
    </row>
    <row r="154" spans="1:7" s="29" customFormat="1" ht="16.5" customHeight="1" thickBot="1">
      <c r="A154" s="191">
        <v>39</v>
      </c>
      <c r="B154" s="192" t="s">
        <v>598</v>
      </c>
      <c r="C154" s="454" t="s">
        <v>599</v>
      </c>
      <c r="D154" s="455"/>
      <c r="E154" s="309"/>
      <c r="F154" s="285"/>
      <c r="G154" s="331" t="s">
        <v>628</v>
      </c>
    </row>
    <row r="155" spans="1:7" ht="15">
      <c r="A155" s="292"/>
      <c r="B155" s="291"/>
      <c r="C155" s="564" t="s">
        <v>687</v>
      </c>
      <c r="D155" s="565"/>
      <c r="E155" s="296">
        <v>1</v>
      </c>
      <c r="F155" s="285"/>
      <c r="G155" s="301"/>
    </row>
    <row r="156" spans="1:7" ht="15">
      <c r="A156" s="292"/>
      <c r="B156" s="291"/>
      <c r="C156" s="566" t="s">
        <v>686</v>
      </c>
      <c r="D156" s="567"/>
      <c r="E156" s="296">
        <v>1</v>
      </c>
      <c r="F156" s="285"/>
      <c r="G156" s="301"/>
    </row>
    <row r="157" spans="1:7" ht="15">
      <c r="A157" s="292"/>
      <c r="B157" s="291"/>
      <c r="C157" s="566" t="s">
        <v>679</v>
      </c>
      <c r="D157" s="567"/>
      <c r="E157" s="297">
        <f>E155/E156</f>
        <v>1</v>
      </c>
      <c r="F157" s="285"/>
      <c r="G157" s="301"/>
    </row>
    <row r="158" spans="1:7" ht="15.75" thickBot="1">
      <c r="A158" s="292"/>
      <c r="B158" s="291"/>
      <c r="C158" s="314" t="s">
        <v>140</v>
      </c>
      <c r="D158" s="307"/>
      <c r="E158" s="298">
        <f>IF(E157&lt;0,"Salah Isi",IF(E157&lt;=4,E157,"Salah Isi"))</f>
        <v>1</v>
      </c>
      <c r="F158" s="378"/>
      <c r="G158" s="301"/>
    </row>
    <row r="159" spans="1:7" ht="15.75" thickBot="1">
      <c r="A159" s="292"/>
      <c r="B159" s="291"/>
      <c r="C159" s="285"/>
      <c r="D159" s="285"/>
      <c r="E159" s="292"/>
      <c r="F159" s="285"/>
      <c r="G159" s="301"/>
    </row>
    <row r="160" spans="1:7" s="29" customFormat="1" ht="18" customHeight="1" thickBot="1">
      <c r="A160" s="191">
        <v>40</v>
      </c>
      <c r="B160" s="192" t="s">
        <v>600</v>
      </c>
      <c r="C160" s="442" t="s">
        <v>601</v>
      </c>
      <c r="D160" s="443"/>
      <c r="E160" s="309"/>
      <c r="F160" s="285"/>
      <c r="G160" s="331" t="s">
        <v>629</v>
      </c>
    </row>
    <row r="161" spans="1:7" ht="15">
      <c r="A161" s="292"/>
      <c r="B161" s="291"/>
      <c r="C161" s="564" t="s">
        <v>687</v>
      </c>
      <c r="D161" s="565"/>
      <c r="E161" s="296">
        <v>1</v>
      </c>
      <c r="F161" s="285"/>
      <c r="G161" s="301"/>
    </row>
    <row r="162" spans="1:7" ht="15">
      <c r="A162" s="292"/>
      <c r="B162" s="291"/>
      <c r="C162" s="566" t="s">
        <v>686</v>
      </c>
      <c r="D162" s="567"/>
      <c r="E162" s="296">
        <v>1</v>
      </c>
      <c r="F162" s="285"/>
      <c r="G162" s="301"/>
    </row>
    <row r="163" spans="1:7" ht="15">
      <c r="A163" s="292"/>
      <c r="B163" s="291"/>
      <c r="C163" s="566" t="s">
        <v>679</v>
      </c>
      <c r="D163" s="567"/>
      <c r="E163" s="297">
        <f>E161/E162</f>
        <v>1</v>
      </c>
      <c r="F163" s="285"/>
      <c r="G163" s="301"/>
    </row>
    <row r="164" spans="1:7" ht="15.75" thickBot="1">
      <c r="A164" s="292"/>
      <c r="B164" s="291"/>
      <c r="C164" s="535" t="s">
        <v>140</v>
      </c>
      <c r="D164" s="536"/>
      <c r="E164" s="298">
        <f>IF(E163&lt;0,"Salah Isi",IF(E163&lt;=4,E163,"Salah Isi"))</f>
        <v>1</v>
      </c>
      <c r="F164" s="285"/>
      <c r="G164" s="301"/>
    </row>
    <row r="165" spans="1:7" ht="15.75" thickBot="1">
      <c r="A165" s="292"/>
      <c r="B165" s="291"/>
      <c r="C165" s="285"/>
      <c r="D165" s="285"/>
      <c r="E165" s="292"/>
      <c r="F165" s="285"/>
      <c r="G165" s="301"/>
    </row>
    <row r="166" spans="1:7" s="29" customFormat="1" ht="29.25" customHeight="1" thickBot="1">
      <c r="A166" s="191">
        <v>41</v>
      </c>
      <c r="B166" s="192" t="s">
        <v>54</v>
      </c>
      <c r="C166" s="442" t="s">
        <v>602</v>
      </c>
      <c r="D166" s="443"/>
      <c r="E166" s="295">
        <v>2</v>
      </c>
      <c r="F166" s="285"/>
      <c r="G166" s="331" t="s">
        <v>511</v>
      </c>
    </row>
    <row r="167" spans="1:7" s="29" customFormat="1" ht="15.75" thickBot="1">
      <c r="A167" s="292"/>
      <c r="B167" s="291"/>
      <c r="C167" s="559" t="s">
        <v>140</v>
      </c>
      <c r="D167" s="560"/>
      <c r="E167" s="298">
        <f>IF(E166&lt;0,"Salah Isi",IF(E166&lt;=4,E166,"Salah Isi"))</f>
        <v>2</v>
      </c>
      <c r="F167" s="285"/>
      <c r="G167" s="301"/>
    </row>
    <row r="168" spans="1:7" s="29" customFormat="1" ht="15.75" thickBot="1">
      <c r="A168" s="292"/>
      <c r="B168" s="291"/>
      <c r="C168" s="285"/>
      <c r="D168" s="285"/>
      <c r="E168" s="292"/>
      <c r="F168" s="285"/>
      <c r="G168" s="301"/>
    </row>
    <row r="169" spans="1:7" s="29" customFormat="1" ht="15.75" customHeight="1" thickBot="1">
      <c r="A169" s="191">
        <v>42</v>
      </c>
      <c r="B169" s="192" t="s">
        <v>603</v>
      </c>
      <c r="C169" s="442" t="s">
        <v>604</v>
      </c>
      <c r="D169" s="443"/>
      <c r="E169" s="309"/>
      <c r="F169" s="285"/>
      <c r="G169" s="331" t="s">
        <v>630</v>
      </c>
    </row>
    <row r="170" spans="1:7" ht="15">
      <c r="A170" s="292"/>
      <c r="B170" s="291"/>
      <c r="C170" s="564" t="s">
        <v>687</v>
      </c>
      <c r="D170" s="565"/>
      <c r="E170" s="296">
        <v>1</v>
      </c>
      <c r="F170" s="285"/>
      <c r="G170" s="301"/>
    </row>
    <row r="171" spans="1:7" ht="15">
      <c r="A171" s="292"/>
      <c r="B171" s="291"/>
      <c r="C171" s="566" t="s">
        <v>686</v>
      </c>
      <c r="D171" s="567"/>
      <c r="E171" s="296">
        <v>1</v>
      </c>
      <c r="F171" s="285"/>
      <c r="G171" s="301"/>
    </row>
    <row r="172" spans="1:7" ht="15">
      <c r="A172" s="292"/>
      <c r="B172" s="291"/>
      <c r="C172" s="566" t="s">
        <v>679</v>
      </c>
      <c r="D172" s="567"/>
      <c r="E172" s="297">
        <f>E170/E171</f>
        <v>1</v>
      </c>
      <c r="F172" s="285"/>
      <c r="G172" s="301"/>
    </row>
    <row r="173" spans="1:7" ht="15.75" thickBot="1">
      <c r="A173" s="292"/>
      <c r="B173" s="291"/>
      <c r="C173" s="535" t="s">
        <v>140</v>
      </c>
      <c r="D173" s="536"/>
      <c r="E173" s="298">
        <f>IF(E172&lt;0,"Salah Isi",IF(E172&lt;=4,E172,"Salah Isi"))</f>
        <v>1</v>
      </c>
      <c r="F173" s="285"/>
      <c r="G173" s="301"/>
    </row>
    <row r="174" spans="1:7" ht="15.75" thickBot="1">
      <c r="A174" s="292"/>
      <c r="B174" s="291"/>
      <c r="C174" s="285"/>
      <c r="D174" s="285"/>
      <c r="E174" s="292"/>
      <c r="F174" s="285"/>
      <c r="G174" s="301"/>
    </row>
    <row r="175" spans="1:7" s="29" customFormat="1" ht="17.25" customHeight="1" thickBot="1">
      <c r="A175" s="191">
        <v>43</v>
      </c>
      <c r="B175" s="192" t="s">
        <v>605</v>
      </c>
      <c r="C175" s="442" t="s">
        <v>606</v>
      </c>
      <c r="D175" s="443"/>
      <c r="E175" s="309"/>
      <c r="F175" s="285"/>
      <c r="G175" s="331" t="s">
        <v>629</v>
      </c>
    </row>
    <row r="176" spans="1:7" ht="15">
      <c r="A176" s="292"/>
      <c r="B176" s="291"/>
      <c r="C176" s="564" t="s">
        <v>687</v>
      </c>
      <c r="D176" s="565"/>
      <c r="E176" s="296">
        <v>1</v>
      </c>
      <c r="F176" s="285"/>
      <c r="G176" s="301"/>
    </row>
    <row r="177" spans="1:7" ht="15">
      <c r="A177" s="292"/>
      <c r="B177" s="291"/>
      <c r="C177" s="566" t="s">
        <v>686</v>
      </c>
      <c r="D177" s="567"/>
      <c r="E177" s="296">
        <v>1</v>
      </c>
      <c r="F177" s="285"/>
      <c r="G177" s="301"/>
    </row>
    <row r="178" spans="1:7" ht="15">
      <c r="A178" s="292"/>
      <c r="B178" s="291"/>
      <c r="C178" s="566" t="s">
        <v>679</v>
      </c>
      <c r="D178" s="567"/>
      <c r="E178" s="297">
        <f>E176/E177</f>
        <v>1</v>
      </c>
      <c r="F178" s="285"/>
      <c r="G178" s="301"/>
    </row>
    <row r="179" spans="1:7" ht="15.75" thickBot="1">
      <c r="A179" s="292"/>
      <c r="B179" s="291"/>
      <c r="C179" s="535" t="s">
        <v>140</v>
      </c>
      <c r="D179" s="536"/>
      <c r="E179" s="298">
        <f>IF(E178&lt;0,"Salah Isi",IF(E178&lt;=4,E178,"Salah Isi"))</f>
        <v>1</v>
      </c>
      <c r="F179" s="285"/>
      <c r="G179" s="301"/>
    </row>
    <row r="180" spans="1:7" ht="15.75" thickBot="1">
      <c r="A180" s="292"/>
      <c r="B180" s="291"/>
      <c r="C180" s="285"/>
      <c r="D180" s="285"/>
      <c r="E180" s="292"/>
      <c r="F180" s="285"/>
      <c r="G180" s="301"/>
    </row>
    <row r="181" spans="1:7" ht="26.25" customHeight="1" thickBot="1">
      <c r="A181" s="191">
        <v>44</v>
      </c>
      <c r="B181" s="192" t="s">
        <v>57</v>
      </c>
      <c r="C181" s="442" t="s">
        <v>607</v>
      </c>
      <c r="D181" s="443"/>
      <c r="E181" s="295">
        <v>2</v>
      </c>
      <c r="F181" s="285"/>
      <c r="G181" s="331" t="s">
        <v>511</v>
      </c>
    </row>
    <row r="182" spans="1:7" ht="15.75" thickBot="1">
      <c r="A182" s="292"/>
      <c r="B182" s="291"/>
      <c r="C182" s="559" t="s">
        <v>140</v>
      </c>
      <c r="D182" s="560"/>
      <c r="E182" s="298">
        <f>IF(E181&lt;0,"Salah Isi",IF(E181&lt;=4,E181,"Salah Isi"))</f>
        <v>2</v>
      </c>
      <c r="F182" s="285"/>
      <c r="G182" s="301"/>
    </row>
    <row r="183" spans="1:7" ht="15.75" thickBot="1">
      <c r="A183" s="292"/>
      <c r="B183" s="291"/>
      <c r="C183" s="285"/>
      <c r="D183" s="285"/>
      <c r="E183" s="292"/>
      <c r="F183" s="285"/>
      <c r="G183" s="301"/>
    </row>
    <row r="184" spans="1:7" ht="28.5" customHeight="1" thickBot="1">
      <c r="A184" s="191">
        <v>45</v>
      </c>
      <c r="B184" s="192" t="s">
        <v>58</v>
      </c>
      <c r="C184" s="442" t="s">
        <v>59</v>
      </c>
      <c r="D184" s="443"/>
      <c r="E184" s="295">
        <v>3</v>
      </c>
      <c r="F184" s="285"/>
      <c r="G184" s="331" t="s">
        <v>504</v>
      </c>
    </row>
    <row r="185" spans="1:7" ht="15.75" thickBot="1">
      <c r="A185" s="292"/>
      <c r="B185" s="291"/>
      <c r="C185" s="559" t="s">
        <v>140</v>
      </c>
      <c r="D185" s="560"/>
      <c r="E185" s="298">
        <f>IF(E184&lt;0,"Salah Isi",IF(E184&lt;=4,E184,"Salah Isi"))</f>
        <v>3</v>
      </c>
      <c r="F185" s="285"/>
      <c r="G185" s="301"/>
    </row>
    <row r="186" spans="1:7" ht="15.75" thickBot="1">
      <c r="A186" s="292"/>
      <c r="B186" s="291"/>
      <c r="C186" s="285"/>
      <c r="D186" s="285"/>
      <c r="E186" s="292"/>
      <c r="F186" s="285"/>
      <c r="G186" s="301"/>
    </row>
    <row r="187" spans="1:7" ht="18.75" customHeight="1" thickBot="1">
      <c r="A187" s="191">
        <v>46</v>
      </c>
      <c r="B187" s="192" t="s">
        <v>60</v>
      </c>
      <c r="C187" s="442" t="s">
        <v>61</v>
      </c>
      <c r="D187" s="443"/>
      <c r="E187" s="295">
        <v>4</v>
      </c>
      <c r="F187" s="285"/>
      <c r="G187" s="331" t="s">
        <v>504</v>
      </c>
    </row>
    <row r="188" spans="1:7" ht="15.75" thickBot="1">
      <c r="A188" s="291"/>
      <c r="B188" s="291"/>
      <c r="C188" s="559" t="s">
        <v>140</v>
      </c>
      <c r="D188" s="560"/>
      <c r="E188" s="298">
        <f>IF(E187&lt;0,"Salah Isi",IF(E187&lt;=4,E187,"Salah Isi"))</f>
        <v>4</v>
      </c>
      <c r="F188" s="285"/>
      <c r="G188" s="301"/>
    </row>
    <row r="189" spans="1:6" ht="18">
      <c r="A189" s="171"/>
      <c r="B189" s="171"/>
      <c r="C189" s="172"/>
      <c r="D189" s="172"/>
      <c r="E189" s="172"/>
      <c r="F189" s="172"/>
    </row>
    <row r="190" spans="1:6" ht="18">
      <c r="A190" s="169"/>
      <c r="B190" s="169"/>
      <c r="C190" s="170"/>
      <c r="D190" s="170"/>
      <c r="E190" s="170"/>
      <c r="F190" s="170"/>
    </row>
    <row r="191" spans="1:6" ht="18">
      <c r="A191" s="169"/>
      <c r="B191" s="169"/>
      <c r="C191" s="170"/>
      <c r="D191" s="170"/>
      <c r="E191" s="170"/>
      <c r="F191" s="170"/>
    </row>
    <row r="192" spans="1:6" ht="18">
      <c r="A192" s="169"/>
      <c r="B192" s="169"/>
      <c r="C192" s="170"/>
      <c r="D192" s="170"/>
      <c r="E192" s="170"/>
      <c r="F192" s="170"/>
    </row>
    <row r="193" spans="1:6" ht="18">
      <c r="A193" s="169"/>
      <c r="B193" s="169"/>
      <c r="C193" s="170"/>
      <c r="D193" s="170"/>
      <c r="E193" s="170"/>
      <c r="F193" s="170"/>
    </row>
    <row r="194" spans="1:6" ht="18">
      <c r="A194" s="169"/>
      <c r="B194" s="169"/>
      <c r="C194" s="170"/>
      <c r="D194" s="170"/>
      <c r="E194" s="170"/>
      <c r="F194" s="170"/>
    </row>
    <row r="195" spans="1:6" ht="18">
      <c r="A195" s="169"/>
      <c r="B195" s="169"/>
      <c r="C195" s="170"/>
      <c r="D195" s="170"/>
      <c r="E195" s="170"/>
      <c r="F195" s="170"/>
    </row>
    <row r="196" spans="1:6" ht="18">
      <c r="A196" s="169"/>
      <c r="B196" s="169"/>
      <c r="C196" s="170"/>
      <c r="D196" s="170"/>
      <c r="E196" s="170"/>
      <c r="F196" s="170"/>
    </row>
    <row r="197" spans="1:6" ht="18">
      <c r="A197" s="169"/>
      <c r="B197" s="169"/>
      <c r="C197" s="170"/>
      <c r="D197" s="170"/>
      <c r="E197" s="170"/>
      <c r="F197" s="170"/>
    </row>
    <row r="198" spans="1:6" ht="18">
      <c r="A198" s="170"/>
      <c r="B198" s="170"/>
      <c r="C198" s="170"/>
      <c r="D198" s="170"/>
      <c r="E198" s="170"/>
      <c r="F198" s="170"/>
    </row>
    <row r="199" spans="1:6" ht="18">
      <c r="A199" s="170"/>
      <c r="B199" s="170"/>
      <c r="C199" s="170"/>
      <c r="D199" s="170"/>
      <c r="E199" s="170"/>
      <c r="F199" s="170"/>
    </row>
    <row r="200" spans="1:6" ht="18">
      <c r="A200" s="170"/>
      <c r="B200" s="170"/>
      <c r="C200" s="170"/>
      <c r="D200" s="170"/>
      <c r="E200" s="170"/>
      <c r="F200" s="170"/>
    </row>
    <row r="201" spans="1:6" ht="18">
      <c r="A201" s="170"/>
      <c r="B201" s="170"/>
      <c r="C201" s="170"/>
      <c r="D201" s="170"/>
      <c r="E201" s="170"/>
      <c r="F201" s="170"/>
    </row>
    <row r="202" spans="1:6" ht="18">
      <c r="A202" s="170"/>
      <c r="B202" s="170"/>
      <c r="C202" s="170"/>
      <c r="D202" s="170"/>
      <c r="E202" s="170"/>
      <c r="F202" s="170"/>
    </row>
    <row r="203" spans="1:6" ht="18">
      <c r="A203" s="170"/>
      <c r="B203" s="170"/>
      <c r="C203" s="170"/>
      <c r="D203" s="170"/>
      <c r="E203" s="170"/>
      <c r="F203" s="170"/>
    </row>
    <row r="204" spans="1:6" ht="18">
      <c r="A204" s="170"/>
      <c r="B204" s="170"/>
      <c r="C204" s="170"/>
      <c r="D204" s="170"/>
      <c r="E204" s="170"/>
      <c r="F204" s="170"/>
    </row>
    <row r="205" spans="1:6" ht="18">
      <c r="A205" s="170"/>
      <c r="B205" s="170"/>
      <c r="C205" s="170"/>
      <c r="D205" s="170"/>
      <c r="E205" s="170"/>
      <c r="F205" s="170"/>
    </row>
    <row r="206" spans="1:6" ht="18">
      <c r="A206" s="170"/>
      <c r="B206" s="170"/>
      <c r="C206" s="170"/>
      <c r="D206" s="170"/>
      <c r="E206" s="170"/>
      <c r="F206" s="170"/>
    </row>
    <row r="207" spans="1:6" ht="18">
      <c r="A207" s="170"/>
      <c r="B207" s="170"/>
      <c r="C207" s="170"/>
      <c r="D207" s="170"/>
      <c r="E207" s="170"/>
      <c r="F207" s="170"/>
    </row>
    <row r="208" spans="1:6" ht="18">
      <c r="A208" s="170"/>
      <c r="B208" s="170"/>
      <c r="C208" s="170"/>
      <c r="D208" s="170"/>
      <c r="E208" s="170"/>
      <c r="F208" s="170"/>
    </row>
    <row r="209" spans="1:6" ht="18">
      <c r="A209" s="170"/>
      <c r="B209" s="170"/>
      <c r="C209" s="170"/>
      <c r="D209" s="170"/>
      <c r="E209" s="170"/>
      <c r="F209" s="170"/>
    </row>
    <row r="210" spans="1:6" ht="18">
      <c r="A210" s="170"/>
      <c r="B210" s="170"/>
      <c r="C210" s="170"/>
      <c r="D210" s="170"/>
      <c r="E210" s="170"/>
      <c r="F210" s="170"/>
    </row>
    <row r="211" spans="1:6" ht="18">
      <c r="A211" s="170"/>
      <c r="B211" s="170"/>
      <c r="C211" s="170"/>
      <c r="D211" s="170"/>
      <c r="E211" s="170"/>
      <c r="F211" s="170"/>
    </row>
    <row r="212" spans="1:6" ht="18">
      <c r="A212" s="170"/>
      <c r="B212" s="170"/>
      <c r="C212" s="170"/>
      <c r="D212" s="170"/>
      <c r="E212" s="170"/>
      <c r="F212" s="170"/>
    </row>
    <row r="213" spans="1:6" ht="18">
      <c r="A213" s="170"/>
      <c r="B213" s="170"/>
      <c r="C213" s="170"/>
      <c r="D213" s="170"/>
      <c r="E213" s="170"/>
      <c r="F213" s="170"/>
    </row>
    <row r="214" spans="1:6" ht="18">
      <c r="A214" s="170"/>
      <c r="B214" s="170"/>
      <c r="C214" s="170"/>
      <c r="D214" s="170"/>
      <c r="E214" s="170"/>
      <c r="F214" s="170"/>
    </row>
    <row r="215" spans="1:6" ht="18">
      <c r="A215" s="170"/>
      <c r="B215" s="170"/>
      <c r="C215" s="170"/>
      <c r="D215" s="170"/>
      <c r="E215" s="170"/>
      <c r="F215" s="170"/>
    </row>
    <row r="216" spans="1:6" ht="18">
      <c r="A216" s="170"/>
      <c r="B216" s="170"/>
      <c r="C216" s="170"/>
      <c r="D216" s="170"/>
      <c r="E216" s="170"/>
      <c r="F216" s="170"/>
    </row>
    <row r="217" spans="1:6" ht="18">
      <c r="A217" s="170"/>
      <c r="B217" s="170"/>
      <c r="C217" s="170"/>
      <c r="D217" s="170"/>
      <c r="E217" s="170"/>
      <c r="F217" s="170"/>
    </row>
    <row r="218" spans="1:6" ht="18">
      <c r="A218" s="170"/>
      <c r="B218" s="170"/>
      <c r="C218" s="170"/>
      <c r="D218" s="170"/>
      <c r="E218" s="170"/>
      <c r="F218" s="170"/>
    </row>
    <row r="219" spans="1:6" ht="18">
      <c r="A219" s="170"/>
      <c r="B219" s="170"/>
      <c r="C219" s="170"/>
      <c r="D219" s="170"/>
      <c r="E219" s="170"/>
      <c r="F219" s="170"/>
    </row>
    <row r="220" spans="1:6" ht="18">
      <c r="A220" s="170"/>
      <c r="B220" s="170"/>
      <c r="C220" s="170"/>
      <c r="D220" s="170"/>
      <c r="E220" s="170"/>
      <c r="F220" s="170"/>
    </row>
    <row r="221" spans="1:6" ht="15.75">
      <c r="A221" s="64"/>
      <c r="B221" s="64"/>
      <c r="C221" s="64"/>
      <c r="D221" s="64"/>
      <c r="E221" s="64"/>
      <c r="F221" s="64"/>
    </row>
    <row r="222" spans="1:6" ht="15.75">
      <c r="A222" s="64"/>
      <c r="B222" s="64"/>
      <c r="C222" s="64"/>
      <c r="D222" s="64"/>
      <c r="E222" s="64"/>
      <c r="F222" s="64"/>
    </row>
  </sheetData>
  <sheetProtection selectLockedCells="1"/>
  <mergeCells count="101">
    <mergeCell ref="C176:D176"/>
    <mergeCell ref="C181:D181"/>
    <mergeCell ref="C184:D184"/>
    <mergeCell ref="C162:D162"/>
    <mergeCell ref="C163:D163"/>
    <mergeCell ref="C170:D170"/>
    <mergeCell ref="C171:D171"/>
    <mergeCell ref="C178:D178"/>
    <mergeCell ref="C179:D179"/>
    <mergeCell ref="C164:D164"/>
    <mergeCell ref="C187:D187"/>
    <mergeCell ref="C154:D154"/>
    <mergeCell ref="C160:D160"/>
    <mergeCell ref="C166:D166"/>
    <mergeCell ref="C169:D169"/>
    <mergeCell ref="C175:D175"/>
    <mergeCell ref="C155:D155"/>
    <mergeCell ref="C156:D156"/>
    <mergeCell ref="C173:D173"/>
    <mergeCell ref="C185:D185"/>
    <mergeCell ref="C125:D125"/>
    <mergeCell ref="C128:D128"/>
    <mergeCell ref="C131:D131"/>
    <mergeCell ref="C134:D134"/>
    <mergeCell ref="C130:D130"/>
    <mergeCell ref="C133:D133"/>
    <mergeCell ref="C121:D121"/>
    <mergeCell ref="C124:D124"/>
    <mergeCell ref="C106:D106"/>
    <mergeCell ref="C110:D110"/>
    <mergeCell ref="C113:D113"/>
    <mergeCell ref="C116:D116"/>
    <mergeCell ref="C122:D122"/>
    <mergeCell ref="C172:D172"/>
    <mergeCell ref="C177:D177"/>
    <mergeCell ref="C104:D104"/>
    <mergeCell ref="C100:D100"/>
    <mergeCell ref="C118:D118"/>
    <mergeCell ref="C108:D108"/>
    <mergeCell ref="C112:D112"/>
    <mergeCell ref="C119:D119"/>
    <mergeCell ref="C137:D137"/>
    <mergeCell ref="C139:D139"/>
    <mergeCell ref="C75:D75"/>
    <mergeCell ref="C38:D38"/>
    <mergeCell ref="C60:D60"/>
    <mergeCell ref="C49:D49"/>
    <mergeCell ref="C161:D161"/>
    <mergeCell ref="C136:D136"/>
    <mergeCell ref="C148:D148"/>
    <mergeCell ref="C151:D151"/>
    <mergeCell ref="C127:D127"/>
    <mergeCell ref="C157:D157"/>
    <mergeCell ref="C188:D188"/>
    <mergeCell ref="A1:E1"/>
    <mergeCell ref="C3:D3"/>
    <mergeCell ref="C149:D149"/>
    <mergeCell ref="C152:D152"/>
    <mergeCell ref="C167:D167"/>
    <mergeCell ref="C23:D23"/>
    <mergeCell ref="C22:D22"/>
    <mergeCell ref="C25:D25"/>
    <mergeCell ref="C28:D28"/>
    <mergeCell ref="C102:D102"/>
    <mergeCell ref="C94:D94"/>
    <mergeCell ref="C97:D97"/>
    <mergeCell ref="C7:D7"/>
    <mergeCell ref="C10:D10"/>
    <mergeCell ref="C47:D47"/>
    <mergeCell ref="C55:D55"/>
    <mergeCell ref="C80:D80"/>
    <mergeCell ref="C83:D83"/>
    <mergeCell ref="C26:D26"/>
    <mergeCell ref="C4:D4"/>
    <mergeCell ref="C182:D182"/>
    <mergeCell ref="C81:D81"/>
    <mergeCell ref="C56:D56"/>
    <mergeCell ref="C31:D31"/>
    <mergeCell ref="C78:D78"/>
    <mergeCell ref="C40:D40"/>
    <mergeCell ref="C53:D53"/>
    <mergeCell ref="C86:D86"/>
    <mergeCell ref="C77:D77"/>
    <mergeCell ref="C5:D5"/>
    <mergeCell ref="C11:D11"/>
    <mergeCell ref="C14:D14"/>
    <mergeCell ref="C17:D17"/>
    <mergeCell ref="C20:D20"/>
    <mergeCell ref="C34:D34"/>
    <mergeCell ref="C13:D13"/>
    <mergeCell ref="C19:D19"/>
    <mergeCell ref="C98:D98"/>
    <mergeCell ref="C74:D74"/>
    <mergeCell ref="C29:D29"/>
    <mergeCell ref="C32:D32"/>
    <mergeCell ref="C41:D41"/>
    <mergeCell ref="C62:D62"/>
    <mergeCell ref="C92:D92"/>
    <mergeCell ref="C84:D84"/>
    <mergeCell ref="C43:D43"/>
    <mergeCell ref="C58:D5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3">
      <selection activeCell="C46" sqref="C46"/>
    </sheetView>
  </sheetViews>
  <sheetFormatPr defaultColWidth="9.140625" defaultRowHeight="15"/>
  <cols>
    <col min="1" max="1" width="5.7109375" style="5" customWidth="1"/>
    <col min="2" max="2" width="10.421875" style="10" customWidth="1"/>
    <col min="3" max="3" width="27.00390625" style="5" customWidth="1"/>
    <col min="4" max="4" width="29.7109375" style="5" customWidth="1"/>
    <col min="5" max="5" width="16.00390625" style="5" customWidth="1"/>
  </cols>
  <sheetData>
    <row r="1" ht="15.75">
      <c r="A1" s="37" t="s">
        <v>109</v>
      </c>
    </row>
    <row r="2" ht="15.75">
      <c r="A2" s="26"/>
    </row>
    <row r="3" ht="15.75">
      <c r="A3" s="37" t="s">
        <v>110</v>
      </c>
    </row>
    <row r="4" ht="15.75">
      <c r="A4" s="37" t="s">
        <v>631</v>
      </c>
    </row>
    <row r="5" ht="15.75">
      <c r="A5" s="26"/>
    </row>
    <row r="6" spans="1:15" ht="15.75">
      <c r="A6" s="324" t="s">
        <v>632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</row>
    <row r="7" spans="1:15" ht="15.75">
      <c r="A7" s="65" t="s">
        <v>118</v>
      </c>
      <c r="B7" s="270"/>
      <c r="C7" s="270"/>
      <c r="D7" s="270"/>
      <c r="E7" s="270"/>
      <c r="F7" s="270"/>
      <c r="G7" s="270"/>
      <c r="H7" s="64"/>
      <c r="I7" s="64"/>
      <c r="J7" s="64"/>
      <c r="K7" s="64"/>
      <c r="L7" s="64"/>
      <c r="M7" s="64"/>
      <c r="N7" s="64"/>
      <c r="O7" s="64"/>
    </row>
    <row r="8" spans="1:15" ht="15.75">
      <c r="A8" s="173" t="s">
        <v>119</v>
      </c>
      <c r="B8" s="63"/>
      <c r="C8" s="26"/>
      <c r="D8" s="26"/>
      <c r="E8" s="26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6" ht="48.75" customHeight="1" thickBot="1">
      <c r="A9" s="568" t="s">
        <v>111</v>
      </c>
      <c r="B9" s="568"/>
      <c r="C9" s="568"/>
      <c r="D9" s="568"/>
      <c r="E9" s="568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5" ht="65.25" customHeight="1" thickBot="1">
      <c r="A10" s="12" t="s">
        <v>1</v>
      </c>
      <c r="B10" s="11" t="s">
        <v>2</v>
      </c>
      <c r="C10" s="11" t="s">
        <v>4</v>
      </c>
      <c r="D10" s="11" t="s">
        <v>112</v>
      </c>
      <c r="E10" s="11" t="s">
        <v>113</v>
      </c>
    </row>
    <row r="11" spans="1:5" ht="15.75" thickBot="1">
      <c r="A11" s="61">
        <f>'F 1'!A13</f>
        <v>1</v>
      </c>
      <c r="B11" s="23" t="str">
        <f>'F 1'!B13</f>
        <v>1.1.1</v>
      </c>
      <c r="C11" s="174" t="str">
        <f>'F 1'!D13</f>
        <v>Kejelasan ...</v>
      </c>
      <c r="D11" s="14"/>
      <c r="E11" s="30"/>
    </row>
    <row r="12" spans="1:5" ht="15.75" thickBot="1">
      <c r="A12" s="61">
        <f>'F 1'!A14</f>
        <v>2</v>
      </c>
      <c r="B12" s="23" t="str">
        <f>'F 1'!B14</f>
        <v>1.1.2</v>
      </c>
      <c r="C12" s="174" t="str">
        <f>'F 1'!D14</f>
        <v>Strategi ...</v>
      </c>
      <c r="D12" s="14"/>
      <c r="E12" s="30"/>
    </row>
    <row r="13" spans="1:5" ht="15.75" thickBot="1">
      <c r="A13" s="61">
        <f>'F 1'!A15</f>
        <v>3</v>
      </c>
      <c r="B13" s="23" t="str">
        <f>'F 1'!B15</f>
        <v>1.2</v>
      </c>
      <c r="C13" s="174" t="str">
        <f>'F 1'!D15</f>
        <v>Pemahaman ...</v>
      </c>
      <c r="D13" s="14"/>
      <c r="E13" s="30"/>
    </row>
    <row r="14" spans="1:5" ht="15.75" thickBot="1">
      <c r="A14" s="61">
        <f>'F 1'!A16</f>
        <v>4</v>
      </c>
      <c r="B14" s="23" t="str">
        <f>'F 1'!B16</f>
        <v>2.1</v>
      </c>
      <c r="C14" s="174" t="str">
        <f>'F 1'!D16</f>
        <v>Jaminan...</v>
      </c>
      <c r="D14" s="14"/>
      <c r="E14" s="30"/>
    </row>
    <row r="15" spans="1:5" ht="15.75" thickBot="1">
      <c r="A15" s="61">
        <f>'F 1'!A17</f>
        <v>5</v>
      </c>
      <c r="B15" s="23" t="str">
        <f>'F 1'!B17</f>
        <v>2.2</v>
      </c>
      <c r="C15" s="174" t="str">
        <f>'F 1'!D17</f>
        <v>Karakteristik ...</v>
      </c>
      <c r="D15" s="14"/>
      <c r="E15" s="30"/>
    </row>
    <row r="16" spans="1:5" ht="15.75" thickBot="1">
      <c r="A16" s="61">
        <f>'F 1'!A18</f>
        <v>6</v>
      </c>
      <c r="B16" s="23" t="str">
        <f>'F 1'!B18</f>
        <v>2.3</v>
      </c>
      <c r="C16" s="174" t="str">
        <f>'F 1'!D18</f>
        <v>Efektivitas...</v>
      </c>
      <c r="D16" s="14"/>
      <c r="E16" s="30"/>
    </row>
    <row r="17" spans="1:5" ht="15.75" thickBot="1">
      <c r="A17" s="61">
        <f>'F 1'!A19</f>
        <v>7</v>
      </c>
      <c r="B17" s="23" t="str">
        <f>'F 1'!B19</f>
        <v>2.4</v>
      </c>
      <c r="C17" s="174" t="str">
        <f>'F 1'!D19</f>
        <v>Pelaksanaan...</v>
      </c>
      <c r="D17" s="14"/>
      <c r="E17" s="30"/>
    </row>
    <row r="18" spans="1:5" ht="15.75" thickBot="1">
      <c r="A18" s="61">
        <f>'F 1'!A20</f>
        <v>8</v>
      </c>
      <c r="B18" s="23" t="str">
        <f>'F 1'!B20</f>
        <v>2.5</v>
      </c>
      <c r="C18" s="174" t="str">
        <f>'F 1'!D20</f>
        <v>Umpan balik...</v>
      </c>
      <c r="D18" s="14"/>
      <c r="E18" s="30"/>
    </row>
    <row r="19" spans="1:5" ht="15.75" thickBot="1">
      <c r="A19" s="61">
        <f>'F 1'!A21</f>
        <v>9</v>
      </c>
      <c r="B19" s="23" t="str">
        <f>'F 1'!B21</f>
        <v>2.6</v>
      </c>
      <c r="C19" s="174" t="str">
        <f>'F 1'!D21</f>
        <v>Upaya-upaya...</v>
      </c>
      <c r="D19" s="14"/>
      <c r="E19" s="30"/>
    </row>
    <row r="20" spans="1:5" ht="15.75" thickBot="1">
      <c r="A20" s="61">
        <f>'F 1'!A22</f>
        <v>10</v>
      </c>
      <c r="B20" s="23" t="str">
        <f>'F 1'!B22</f>
        <v>3.1.1.1</v>
      </c>
      <c r="C20" s="174" t="str">
        <f>'F 1'!D22</f>
        <v>Rasio...</v>
      </c>
      <c r="D20" s="14"/>
      <c r="E20" s="30"/>
    </row>
    <row r="21" spans="1:5" ht="15.75" thickBot="1">
      <c r="A21" s="61">
        <f>'F 1'!A23</f>
        <v>11</v>
      </c>
      <c r="B21" s="23" t="str">
        <f>'F 1'!B23</f>
        <v>3.1.1.2</v>
      </c>
      <c r="C21" s="174" t="str">
        <f>'F 1'!D23</f>
        <v>Rasio ...</v>
      </c>
      <c r="D21" s="14"/>
      <c r="E21" s="30"/>
    </row>
    <row r="22" spans="1:5" ht="15.75" thickBot="1">
      <c r="A22" s="61">
        <f>'F 1'!A24</f>
        <v>12</v>
      </c>
      <c r="B22" s="23" t="str">
        <f>'F 1'!B24</f>
        <v>3.1.1.3</v>
      </c>
      <c r="C22" s="174" t="str">
        <f>'F 1'!D24</f>
        <v>Rasio ...</v>
      </c>
      <c r="D22" s="14"/>
      <c r="E22" s="30"/>
    </row>
    <row r="23" spans="1:5" ht="15.75" thickBot="1">
      <c r="A23" s="61">
        <f>'F 1'!A25</f>
        <v>13</v>
      </c>
      <c r="B23" s="23" t="str">
        <f>'F 1'!B25</f>
        <v>3.1.1.4</v>
      </c>
      <c r="C23" s="174" t="str">
        <f>'F 1'!D25</f>
        <v>Rata-rata...</v>
      </c>
      <c r="D23" s="14"/>
      <c r="E23" s="30"/>
    </row>
    <row r="24" spans="1:5" ht="15.75" thickBot="1">
      <c r="A24" s="61">
        <f>'F 1'!A26</f>
        <v>14</v>
      </c>
      <c r="B24" s="23" t="str">
        <f>'F 1'!B26</f>
        <v>3.1.2</v>
      </c>
      <c r="C24" s="174" t="str">
        <f>'F 1'!D26</f>
        <v>Penghargaan</v>
      </c>
      <c r="D24" s="14"/>
      <c r="E24" s="30"/>
    </row>
    <row r="25" spans="1:5" ht="15.75" thickBot="1">
      <c r="A25" s="61">
        <f>'F 1'!A27</f>
        <v>15</v>
      </c>
      <c r="B25" s="23" t="str">
        <f>'F 1'!B27</f>
        <v>3.1.3.1</v>
      </c>
      <c r="C25" s="174" t="str">
        <f>'F 1'!D27</f>
        <v>Persentase ...</v>
      </c>
      <c r="D25" s="14"/>
      <c r="E25" s="30"/>
    </row>
    <row r="26" spans="1:5" ht="15.75" thickBot="1">
      <c r="A26" s="61">
        <f>'F 1'!A28</f>
        <v>16</v>
      </c>
      <c r="B26" s="23" t="str">
        <f>'F 1'!B28</f>
        <v>3.1.3.2</v>
      </c>
      <c r="C26" s="174" t="str">
        <f>'F 1'!D28</f>
        <v>Persentase...</v>
      </c>
      <c r="D26" s="14"/>
      <c r="E26" s="30"/>
    </row>
    <row r="27" spans="1:5" ht="15.75" thickBot="1">
      <c r="A27" s="61">
        <f>'F 1'!A29</f>
        <v>17</v>
      </c>
      <c r="B27" s="23" t="str">
        <f>'F 1'!B29</f>
        <v>3.2.1</v>
      </c>
      <c r="C27" s="174" t="str">
        <f>'F 1'!D29</f>
        <v>Jenis layanan...</v>
      </c>
      <c r="D27" s="14"/>
      <c r="E27" s="30"/>
    </row>
    <row r="28" spans="1:5" ht="15.75" thickBot="1">
      <c r="A28" s="61">
        <f>'F 1'!A30</f>
        <v>18</v>
      </c>
      <c r="B28" s="23" t="str">
        <f>'F 1'!B30</f>
        <v>3.2.2</v>
      </c>
      <c r="C28" s="174" t="str">
        <f>'F 1'!D30</f>
        <v>Mutu layanan...</v>
      </c>
      <c r="D28" s="14"/>
      <c r="E28" s="30"/>
    </row>
    <row r="29" spans="1:5" ht="15.75" thickBot="1">
      <c r="A29" s="61">
        <f>'F 1'!A31</f>
        <v>19</v>
      </c>
      <c r="B29" s="23" t="str">
        <f>'F 1'!B31</f>
        <v>3.3</v>
      </c>
      <c r="C29" s="174" t="str">
        <f>'F 1'!D31</f>
        <v>Usaha...</v>
      </c>
      <c r="D29" s="14"/>
      <c r="E29" s="30"/>
    </row>
    <row r="30" spans="1:5" ht="15.75" thickBot="1">
      <c r="A30" s="61">
        <f>'F 1'!A32</f>
        <v>20</v>
      </c>
      <c r="B30" s="23" t="str">
        <f>'F 1'!B32</f>
        <v>3.4.1.1</v>
      </c>
      <c r="C30" s="174" t="str">
        <f>'F 1'!D32</f>
        <v>Upaya ...</v>
      </c>
      <c r="D30" s="14"/>
      <c r="E30" s="30"/>
    </row>
    <row r="31" spans="1:5" ht="15.75" thickBot="1">
      <c r="A31" s="61">
        <f>'F 1'!A33</f>
        <v>21</v>
      </c>
      <c r="B31" s="23" t="str">
        <f>'F 1'!B33</f>
        <v>3.4.1.2</v>
      </c>
      <c r="C31" s="174" t="str">
        <f>'F 1'!D33</f>
        <v>Penggunaan...</v>
      </c>
      <c r="D31" s="14"/>
      <c r="E31" s="30"/>
    </row>
    <row r="32" spans="1:5" ht="15.75" thickBot="1">
      <c r="A32" s="61">
        <f>'F 1'!A34</f>
        <v>22</v>
      </c>
      <c r="B32" s="23" t="str">
        <f>'F 1'!B34</f>
        <v>3.4.1.3</v>
      </c>
      <c r="C32" s="174" t="str">
        <f>'F 1'!D34</f>
        <v>Pendapat...</v>
      </c>
      <c r="D32" s="14"/>
      <c r="E32" s="30"/>
    </row>
    <row r="33" spans="1:5" ht="15.75" thickBot="1">
      <c r="A33" s="61">
        <f>'F 1'!A35</f>
        <v>23</v>
      </c>
      <c r="B33" s="23" t="str">
        <f>'F 1'!B35</f>
        <v>3.4.2</v>
      </c>
      <c r="C33" s="174" t="str">
        <f>'F 1'!D35</f>
        <v>Keahlian...</v>
      </c>
      <c r="D33" s="14"/>
      <c r="E33" s="30"/>
    </row>
    <row r="34" spans="1:5" ht="15.75" thickBot="1">
      <c r="A34" s="61">
        <f>'F 1'!A36</f>
        <v>24</v>
      </c>
      <c r="B34" s="23" t="str">
        <f>'F 1'!B36</f>
        <v>3.4.3</v>
      </c>
      <c r="C34" s="174" t="str">
        <f>'F 1'!D36</f>
        <v>Masa...</v>
      </c>
      <c r="D34" s="14"/>
      <c r="E34" s="30"/>
    </row>
    <row r="35" spans="1:5" ht="15.75" thickBot="1">
      <c r="A35" s="61">
        <f>'F 1'!A37</f>
        <v>25</v>
      </c>
      <c r="B35" s="23" t="str">
        <f>'F 1'!B37</f>
        <v>3.4.4</v>
      </c>
      <c r="C35" s="174" t="str">
        <f>'F 1'!D37</f>
        <v>Kesesuaian...</v>
      </c>
      <c r="D35" s="14"/>
      <c r="E35" s="30"/>
    </row>
    <row r="36" spans="1:5" ht="15.75" thickBot="1">
      <c r="A36" s="61">
        <f>'F 1'!A38</f>
        <v>26</v>
      </c>
      <c r="B36" s="23" t="str">
        <f>'F 1'!B38</f>
        <v>3.4.5</v>
      </c>
      <c r="C36" s="174" t="str">
        <f>'F 1'!D38</f>
        <v>Jumlah ...</v>
      </c>
      <c r="D36" s="14"/>
      <c r="E36" s="30"/>
    </row>
    <row r="37" spans="1:5" ht="15.75" thickBot="1">
      <c r="A37" s="61">
        <f>'F 1'!A39</f>
        <v>27</v>
      </c>
      <c r="B37" s="23" t="str">
        <f>'F 1'!B39</f>
        <v>3.5</v>
      </c>
      <c r="C37" s="174" t="str">
        <f>'F 1'!D39</f>
        <v>Partisipasi...</v>
      </c>
      <c r="D37" s="14"/>
      <c r="E37" s="30"/>
    </row>
    <row r="38" spans="1:5" ht="15.75" thickBot="1">
      <c r="A38" s="61">
        <f>'F 1'!A40</f>
        <v>28</v>
      </c>
      <c r="B38" s="23" t="str">
        <f>'F 1'!B40</f>
        <v>4.1</v>
      </c>
      <c r="C38" s="174" t="str">
        <f>'F 1'!D40</f>
        <v>Pedoman...</v>
      </c>
      <c r="D38" s="14"/>
      <c r="E38" s="30"/>
    </row>
    <row r="39" spans="1:5" ht="15.75" thickBot="1">
      <c r="A39" s="61">
        <f>'F 1'!A41</f>
        <v>29</v>
      </c>
      <c r="B39" s="23" t="str">
        <f>'F 1'!B41</f>
        <v>4.2.1</v>
      </c>
      <c r="C39" s="174" t="str">
        <f>'F 1'!D41</f>
        <v>Pedoman...</v>
      </c>
      <c r="D39" s="14"/>
      <c r="E39" s="30"/>
    </row>
    <row r="40" spans="1:5" ht="15.75" thickBot="1">
      <c r="A40" s="61">
        <f>'F 1'!A42</f>
        <v>30</v>
      </c>
      <c r="B40" s="23" t="str">
        <f>'F 1'!B42</f>
        <v>4.2.2</v>
      </c>
      <c r="C40" s="174" t="str">
        <f>'F 1'!D42</f>
        <v>Pelaksanaan...</v>
      </c>
      <c r="D40" s="14"/>
      <c r="E40" s="30"/>
    </row>
    <row r="41" spans="1:5" ht="15.75" thickBot="1">
      <c r="A41" s="61">
        <f>'F 1'!A43</f>
        <v>31</v>
      </c>
      <c r="B41" s="23" t="str">
        <f>'F 1'!B43</f>
        <v>4.3.1.1</v>
      </c>
      <c r="C41" s="174" t="str">
        <f>'F 1'!D43</f>
        <v>Dosen...</v>
      </c>
      <c r="D41" s="14"/>
      <c r="E41" s="30"/>
    </row>
    <row r="42" spans="1:5" ht="15.75" thickBot="1">
      <c r="A42" s="61">
        <f>'F 1'!A44</f>
        <v>32</v>
      </c>
      <c r="B42" s="23" t="str">
        <f>'F 1'!B44</f>
        <v>4.3.1.2</v>
      </c>
      <c r="C42" s="174" t="str">
        <f>'F 1'!D44</f>
        <v>Dosen...</v>
      </c>
      <c r="D42" s="14"/>
      <c r="E42" s="30"/>
    </row>
    <row r="43" spans="1:5" ht="15.75" thickBot="1">
      <c r="A43" s="61">
        <f>'F 1'!A45</f>
        <v>33</v>
      </c>
      <c r="B43" s="23" t="str">
        <f>'F 1'!B45</f>
        <v>4.3.1.3</v>
      </c>
      <c r="C43" s="174" t="str">
        <f>'F 1'!D45</f>
        <v>Rasio...</v>
      </c>
      <c r="D43" s="14"/>
      <c r="E43" s="30"/>
    </row>
    <row r="44" spans="1:5" ht="15.75" thickBot="1">
      <c r="A44" s="61">
        <f>'F 1'!A46</f>
        <v>34</v>
      </c>
      <c r="B44" s="23" t="str">
        <f>'F 1'!B46</f>
        <v>4.3.2.1</v>
      </c>
      <c r="C44" s="174" t="str">
        <f>'F 1'!D46</f>
        <v>Dosen...</v>
      </c>
      <c r="D44" s="14"/>
      <c r="E44" s="30"/>
    </row>
    <row r="45" spans="1:5" ht="15.75" thickBot="1">
      <c r="A45" s="61">
        <f>'F 1'!A47</f>
        <v>35</v>
      </c>
      <c r="B45" s="23" t="str">
        <f>'F 1'!B47</f>
        <v>4.3.2.2</v>
      </c>
      <c r="C45" s="174" t="str">
        <f>'F 1'!D47</f>
        <v>Dosen...</v>
      </c>
      <c r="D45" s="14"/>
      <c r="E45" s="30"/>
    </row>
    <row r="46" spans="1:5" ht="15.75" thickBot="1">
      <c r="A46" s="61">
        <f>'F 1'!A48</f>
        <v>36</v>
      </c>
      <c r="B46" s="23" t="str">
        <f>'F 1'!B48</f>
        <v>4.3.3</v>
      </c>
      <c r="C46" s="174" t="str">
        <f>'F 1'!D48</f>
        <v>Rata-rata ...</v>
      </c>
      <c r="D46" s="14"/>
      <c r="E46" s="30"/>
    </row>
    <row r="47" spans="1:5" ht="26.25" thickBot="1">
      <c r="A47" s="61">
        <f>'F 1'!A49</f>
        <v>37</v>
      </c>
      <c r="B47" s="23" t="str">
        <f>'F 1'!B49</f>
        <v>4.3.4 &amp; 4.3.5</v>
      </c>
      <c r="C47" s="174" t="str">
        <f>'F 1'!D49</f>
        <v>Kesesuaian...</v>
      </c>
      <c r="D47" s="14"/>
      <c r="E47" s="30"/>
    </row>
    <row r="48" spans="1:5" ht="26.25" thickBot="1">
      <c r="A48" s="61">
        <f>'F 1'!A50</f>
        <v>38</v>
      </c>
      <c r="B48" s="23" t="str">
        <f>'F 1'!B50</f>
        <v>4.3.4 &amp; 4.3.5</v>
      </c>
      <c r="C48" s="174" t="str">
        <f>'F 1'!D50</f>
        <v>Persentase...</v>
      </c>
      <c r="D48" s="14"/>
      <c r="E48" s="30"/>
    </row>
    <row r="49" spans="1:5" ht="15.75" thickBot="1">
      <c r="A49" s="61">
        <f>'F 1'!A51</f>
        <v>39</v>
      </c>
      <c r="B49" s="23" t="str">
        <f>'F 1'!B51</f>
        <v>4.4.1</v>
      </c>
      <c r="C49" s="174" t="str">
        <f>'F 1'!D51</f>
        <v>Persentase...</v>
      </c>
      <c r="D49" s="14"/>
      <c r="E49" s="30"/>
    </row>
    <row r="50" spans="1:5" ht="15.75" thickBot="1">
      <c r="A50" s="61">
        <f>'F 1'!A52</f>
        <v>40</v>
      </c>
      <c r="B50" s="23" t="str">
        <f>'F 1'!B52</f>
        <v>4.4.2.1</v>
      </c>
      <c r="C50" s="174" t="str">
        <f>'F 1'!D52</f>
        <v>Kesesuaian...</v>
      </c>
      <c r="D50" s="14"/>
      <c r="E50" s="30"/>
    </row>
    <row r="51" spans="1:5" ht="15.75" thickBot="1">
      <c r="A51" s="61">
        <f>'F 1'!A53</f>
        <v>41</v>
      </c>
      <c r="B51" s="23" t="str">
        <f>'F 1'!B53</f>
        <v>4.4.2.2</v>
      </c>
      <c r="C51" s="174" t="str">
        <f>'F 1'!D53</f>
        <v>Persentase ...</v>
      </c>
      <c r="D51" s="14"/>
      <c r="E51" s="30"/>
    </row>
    <row r="52" spans="1:5" ht="15.75" thickBot="1">
      <c r="A52" s="61">
        <f>'F 1'!A54</f>
        <v>42</v>
      </c>
      <c r="B52" s="23" t="str">
        <f>'F 1'!B54</f>
        <v>4.5.1</v>
      </c>
      <c r="C52" s="174" t="str">
        <f>'F 1'!D54</f>
        <v>Kegiatan...</v>
      </c>
      <c r="D52" s="14"/>
      <c r="E52" s="30"/>
    </row>
    <row r="53" spans="1:5" ht="15.75" thickBot="1">
      <c r="A53" s="61">
        <f>'F 1'!A55</f>
        <v>43</v>
      </c>
      <c r="B53" s="23" t="str">
        <f>'F 1'!B55</f>
        <v>4.5.2</v>
      </c>
      <c r="C53" s="174" t="str">
        <f>'F 1'!D55</f>
        <v>Peningkatan...</v>
      </c>
      <c r="D53" s="14"/>
      <c r="E53" s="30"/>
    </row>
    <row r="54" spans="1:5" ht="15.75" thickBot="1">
      <c r="A54" s="61">
        <f>'F 1'!A56</f>
        <v>44</v>
      </c>
      <c r="B54" s="23" t="str">
        <f>'F 1'!B56</f>
        <v>4.5.3</v>
      </c>
      <c r="C54" s="174" t="str">
        <f>'F 1'!D56</f>
        <v>Kegiatan...</v>
      </c>
      <c r="D54" s="14"/>
      <c r="E54" s="30"/>
    </row>
    <row r="55" spans="1:5" ht="15.75" thickBot="1">
      <c r="A55" s="61">
        <f>'F 1'!A57</f>
        <v>45</v>
      </c>
      <c r="B55" s="23" t="str">
        <f>'F 1'!B57</f>
        <v>4.5.4</v>
      </c>
      <c r="C55" s="174" t="str">
        <f>'F 1'!D57</f>
        <v>Prestasi...</v>
      </c>
      <c r="D55" s="14"/>
      <c r="E55" s="30"/>
    </row>
    <row r="56" spans="1:5" ht="15.75" thickBot="1">
      <c r="A56" s="61">
        <f>'F 1'!A58</f>
        <v>46</v>
      </c>
      <c r="B56" s="23" t="str">
        <f>'F 1'!B58</f>
        <v>4.5.5</v>
      </c>
      <c r="C56" s="174" t="str">
        <f>'F 1'!D58</f>
        <v>Reputasi...</v>
      </c>
      <c r="D56" s="14"/>
      <c r="E56" s="30"/>
    </row>
    <row r="57" spans="1:5" ht="15.75" thickBot="1">
      <c r="A57" s="61">
        <f>'F 1'!A59</f>
        <v>47</v>
      </c>
      <c r="B57" s="23" t="str">
        <f>'F 1'!B59</f>
        <v>4.6.1.1</v>
      </c>
      <c r="C57" s="174" t="str">
        <f>'F 1'!D59</f>
        <v>Pustakawan...</v>
      </c>
      <c r="D57" s="14"/>
      <c r="E57" s="30"/>
    </row>
    <row r="58" spans="1:5" ht="15.75" thickBot="1">
      <c r="A58" s="61">
        <f>'F 1'!A60</f>
        <v>48</v>
      </c>
      <c r="B58" s="23" t="str">
        <f>'F 1'!B60</f>
        <v>4.6.1.2</v>
      </c>
      <c r="C58" s="174" t="str">
        <f>'F 1'!D60</f>
        <v>Laboran...</v>
      </c>
      <c r="D58" s="14"/>
      <c r="E58" s="30"/>
    </row>
    <row r="59" spans="1:5" ht="15.75" thickBot="1">
      <c r="A59" s="61">
        <f>'F 1'!A61</f>
        <v>49</v>
      </c>
      <c r="B59" s="23" t="str">
        <f>'F 1'!B61</f>
        <v>4.6.1.3</v>
      </c>
      <c r="C59" s="174" t="str">
        <f>'F 1'!D61</f>
        <v>Tenaga...</v>
      </c>
      <c r="D59" s="14"/>
      <c r="E59" s="30"/>
    </row>
    <row r="60" spans="1:5" ht="15.75" thickBot="1">
      <c r="A60" s="61">
        <f>'F 1'!A62</f>
        <v>50</v>
      </c>
      <c r="B60" s="23" t="str">
        <f>'F 1'!B62</f>
        <v>4.6.2</v>
      </c>
      <c r="C60" s="174" t="str">
        <f>'F 1'!D62</f>
        <v>Upaya...</v>
      </c>
      <c r="D60" s="14"/>
      <c r="E60" s="30"/>
    </row>
    <row r="61" spans="1:5" ht="15.75" thickBot="1">
      <c r="A61" s="61">
        <f>'F 1'!A63</f>
        <v>51</v>
      </c>
      <c r="B61" s="23" t="str">
        <f>'F 1'!B63</f>
        <v>5.1.1.1</v>
      </c>
      <c r="C61" s="174" t="str">
        <f>'F 1'!D63</f>
        <v>Kompetensi...</v>
      </c>
      <c r="D61" s="14"/>
      <c r="E61" s="30"/>
    </row>
    <row r="62" spans="1:5" ht="15.75" thickBot="1">
      <c r="A62" s="61">
        <f>'F 1'!A64</f>
        <v>52</v>
      </c>
      <c r="B62" s="23" t="str">
        <f>'F 1'!B64</f>
        <v>5.1.1.2</v>
      </c>
      <c r="C62" s="174" t="str">
        <f>'F 1'!D64</f>
        <v>Kompetensi...</v>
      </c>
      <c r="D62" s="14"/>
      <c r="E62" s="30"/>
    </row>
    <row r="63" spans="1:5" ht="15.75" thickBot="1">
      <c r="A63" s="61">
        <f>'F 1'!A65</f>
        <v>53</v>
      </c>
      <c r="B63" s="23" t="str">
        <f>'F 1'!B65</f>
        <v>5.1.2.1.1</v>
      </c>
      <c r="C63" s="174" t="str">
        <f>'F 1'!D65</f>
        <v>Struktur...</v>
      </c>
      <c r="D63" s="14"/>
      <c r="E63" s="30"/>
    </row>
    <row r="64" spans="1:5" ht="15.75" thickBot="1">
      <c r="A64" s="61">
        <f>'F 1'!A66</f>
        <v>54</v>
      </c>
      <c r="B64" s="23" t="str">
        <f>'F 1'!B66</f>
        <v>5.1.2.1.2</v>
      </c>
      <c r="C64" s="174" t="str">
        <f>'F 1'!D66</f>
        <v>Struktur...</v>
      </c>
      <c r="D64" s="14"/>
      <c r="E64" s="30"/>
    </row>
    <row r="65" spans="1:5" ht="15.75" thickBot="1">
      <c r="A65" s="61">
        <f>'F 1'!A67</f>
        <v>55</v>
      </c>
      <c r="B65" s="23" t="str">
        <f>'F 1'!B67</f>
        <v>5.1.2.1.3</v>
      </c>
      <c r="C65" s="174" t="str">
        <f>'F 1'!D67</f>
        <v>Struktur...</v>
      </c>
      <c r="D65" s="14"/>
      <c r="E65" s="30"/>
    </row>
    <row r="66" spans="1:5" ht="15.75" thickBot="1">
      <c r="A66" s="61">
        <f>'F 1'!A68</f>
        <v>56</v>
      </c>
      <c r="B66" s="23" t="str">
        <f>'F 1'!B68</f>
        <v>5.1.2.1.4</v>
      </c>
      <c r="C66" s="174" t="str">
        <f>'F 1'!D68</f>
        <v>Struktur...</v>
      </c>
      <c r="D66" s="14"/>
      <c r="E66" s="30"/>
    </row>
    <row r="67" spans="1:5" ht="15.75" thickBot="1">
      <c r="A67" s="61">
        <f>'F 1'!A69</f>
        <v>57</v>
      </c>
      <c r="B67" s="23" t="str">
        <f>'F 1'!B69</f>
        <v>5.1.2.2</v>
      </c>
      <c r="C67" s="174" t="str">
        <f>'F 1'!D69</f>
        <v>Substansi...</v>
      </c>
      <c r="D67" s="14"/>
      <c r="E67" s="30"/>
    </row>
    <row r="68" spans="1:5" ht="15.75" thickBot="1">
      <c r="A68" s="61">
        <f>'F 1'!A70</f>
        <v>58</v>
      </c>
      <c r="B68" s="23" t="str">
        <f>'F 1'!B70</f>
        <v>5.2.1</v>
      </c>
      <c r="C68" s="174" t="str">
        <f>'F 1'!D70</f>
        <v>Pelaksanaan...</v>
      </c>
      <c r="D68" s="14"/>
      <c r="E68" s="30"/>
    </row>
    <row r="69" spans="1:5" ht="15.75" thickBot="1">
      <c r="A69" s="61">
        <f>'F 1'!A71</f>
        <v>59</v>
      </c>
      <c r="B69" s="23" t="str">
        <f>'F 1'!B71</f>
        <v>5.2.2</v>
      </c>
      <c r="C69" s="174" t="str">
        <f>'F 1'!D71</f>
        <v>Pelaksanaan...</v>
      </c>
      <c r="D69" s="14"/>
      <c r="E69" s="30"/>
    </row>
    <row r="70" spans="1:5" ht="15.75" thickBot="1">
      <c r="A70" s="61">
        <f>'F 1'!A72</f>
        <v>60</v>
      </c>
      <c r="B70" s="23" t="str">
        <f>'F 1'!B72</f>
        <v>5.2.3</v>
      </c>
      <c r="C70" s="174" t="str">
        <f>'F 1'!D72</f>
        <v>Mutu...</v>
      </c>
      <c r="D70" s="14"/>
      <c r="E70" s="30"/>
    </row>
    <row r="71" spans="1:5" ht="15.75" thickBot="1">
      <c r="A71" s="61">
        <f>'F 1'!A73</f>
        <v>61</v>
      </c>
      <c r="B71" s="23" t="str">
        <f>'F 1'!B73</f>
        <v>5.3.1</v>
      </c>
      <c r="C71" s="174" t="str">
        <f>'F 1'!D73</f>
        <v>Peninjauan...</v>
      </c>
      <c r="D71" s="14"/>
      <c r="E71" s="30"/>
    </row>
    <row r="72" spans="1:5" ht="15.75" thickBot="1">
      <c r="A72" s="61">
        <f>'F 1'!A74</f>
        <v>62</v>
      </c>
      <c r="B72" s="23" t="str">
        <f>'F 1'!B74</f>
        <v>5.3.2</v>
      </c>
      <c r="C72" s="174" t="str">
        <f>'F 1'!D74</f>
        <v>Penyesuaian...</v>
      </c>
      <c r="D72" s="14"/>
      <c r="E72" s="30"/>
    </row>
    <row r="73" spans="1:5" ht="15.75" thickBot="1">
      <c r="A73" s="61">
        <f>'F 1'!A75</f>
        <v>63</v>
      </c>
      <c r="B73" s="23" t="str">
        <f>'F 1'!B75</f>
        <v>5.4.1.1</v>
      </c>
      <c r="C73" s="174" t="str">
        <f>'F 1'!D75</f>
        <v>Rata-rata...</v>
      </c>
      <c r="D73" s="14"/>
      <c r="E73" s="30"/>
    </row>
    <row r="74" spans="1:5" ht="15.75" thickBot="1">
      <c r="A74" s="61">
        <f>'F 1'!A76</f>
        <v>64</v>
      </c>
      <c r="B74" s="23" t="str">
        <f>'F 1'!B76</f>
        <v>5.4.1.2</v>
      </c>
      <c r="C74" s="174" t="str">
        <f>'F 1'!D76</f>
        <v>Jumlah...</v>
      </c>
      <c r="D74" s="14"/>
      <c r="E74" s="30"/>
    </row>
    <row r="75" spans="1:5" ht="15.75" thickBot="1">
      <c r="A75" s="61">
        <f>'F 1'!A77</f>
        <v>65</v>
      </c>
      <c r="B75" s="23" t="str">
        <f>'F 1'!B77</f>
        <v>5.4.2.1</v>
      </c>
      <c r="C75" s="174" t="str">
        <f>'F 1'!D77</f>
        <v>Pelaksanaan...</v>
      </c>
      <c r="D75" s="14"/>
      <c r="E75" s="30"/>
    </row>
    <row r="76" spans="1:5" ht="15.75" thickBot="1">
      <c r="A76" s="61">
        <f>'F 1'!A78</f>
        <v>66</v>
      </c>
      <c r="B76" s="23" t="str">
        <f>'F 1'!B78</f>
        <v>5.4.2.2</v>
      </c>
      <c r="C76" s="174" t="str">
        <f>'F 1'!D78</f>
        <v>Efektivitas...</v>
      </c>
      <c r="D76" s="14"/>
      <c r="E76" s="30"/>
    </row>
    <row r="77" spans="1:5" ht="15.75" thickBot="1">
      <c r="A77" s="61">
        <f>'F 1'!A79</f>
        <v>67</v>
      </c>
      <c r="B77" s="23" t="str">
        <f>'F 1'!B79</f>
        <v>5.5.1</v>
      </c>
      <c r="C77" s="174" t="str">
        <f>'F 1'!D79</f>
        <v>Bentuk...</v>
      </c>
      <c r="D77" s="14"/>
      <c r="E77" s="30"/>
    </row>
    <row r="78" spans="1:5" ht="15.75" thickBot="1">
      <c r="A78" s="61">
        <f>'F 1'!A80</f>
        <v>68</v>
      </c>
      <c r="B78" s="23" t="str">
        <f>'F 1'!B80</f>
        <v>5.5.2.1</v>
      </c>
      <c r="C78" s="174" t="str">
        <f>'F 1'!D80</f>
        <v>Ketersediaan...</v>
      </c>
      <c r="D78" s="14"/>
      <c r="E78" s="30"/>
    </row>
    <row r="79" spans="1:5" ht="15.75" thickBot="1">
      <c r="A79" s="61">
        <f>'F 1'!A81</f>
        <v>69</v>
      </c>
      <c r="B79" s="23" t="str">
        <f>'F 1'!B81</f>
        <v>5.5.2.2</v>
      </c>
      <c r="C79" s="174" t="str">
        <f>'F 1'!D81</f>
        <v>Rata-rata...</v>
      </c>
      <c r="D79" s="14"/>
      <c r="E79" s="30"/>
    </row>
    <row r="80" spans="1:5" ht="15.75" thickBot="1">
      <c r="A80" s="61">
        <f>'F 1'!A82</f>
        <v>70</v>
      </c>
      <c r="B80" s="23" t="str">
        <f>'F 1'!B82</f>
        <v>5.5.2.3</v>
      </c>
      <c r="C80" s="174" t="str">
        <f>'F 1'!D82</f>
        <v>Rata-rata...</v>
      </c>
      <c r="D80" s="14"/>
      <c r="E80" s="30"/>
    </row>
    <row r="81" spans="1:5" ht="15.75" thickBot="1">
      <c r="A81" s="61">
        <f>'F 1'!A83</f>
        <v>71</v>
      </c>
      <c r="B81" s="23" t="str">
        <f>'F 1'!B83</f>
        <v>5.5.2.4</v>
      </c>
      <c r="C81" s="174" t="str">
        <f>'F 1'!D83</f>
        <v>Kualifikasi...</v>
      </c>
      <c r="D81" s="14"/>
      <c r="E81" s="30"/>
    </row>
    <row r="82" spans="1:5" ht="15.75" thickBot="1">
      <c r="A82" s="61">
        <f>'F 1'!A84</f>
        <v>72</v>
      </c>
      <c r="B82" s="23">
        <f>'F 1'!B84</f>
        <v>5.6</v>
      </c>
      <c r="C82" s="174" t="str">
        <f>'F 1'!D84</f>
        <v>Upaya...</v>
      </c>
      <c r="D82" s="14"/>
      <c r="E82" s="30"/>
    </row>
    <row r="83" spans="1:5" ht="15.75" thickBot="1">
      <c r="A83" s="61">
        <f>'F 1'!A85</f>
        <v>73</v>
      </c>
      <c r="B83" s="23" t="str">
        <f>'F 1'!B85</f>
        <v>5.7.1</v>
      </c>
      <c r="C83" s="174" t="str">
        <f>'F 1'!D85</f>
        <v>Kebijakan...</v>
      </c>
      <c r="D83" s="14"/>
      <c r="E83" s="30"/>
    </row>
    <row r="84" spans="1:5" ht="15.75" thickBot="1">
      <c r="A84" s="61">
        <f>'F 1'!A86</f>
        <v>74</v>
      </c>
      <c r="B84" s="23" t="str">
        <f>'F 1'!B86</f>
        <v>5.7.2</v>
      </c>
      <c r="C84" s="174" t="str">
        <f>'F 1'!D86</f>
        <v>Ketersediaan...</v>
      </c>
      <c r="D84" s="14"/>
      <c r="E84" s="30"/>
    </row>
    <row r="85" spans="1:5" ht="15.75" thickBot="1">
      <c r="A85" s="61">
        <f>'F 1'!A87</f>
        <v>75</v>
      </c>
      <c r="B85" s="23" t="str">
        <f>'F 1'!B87</f>
        <v>5.7.3</v>
      </c>
      <c r="C85" s="174" t="str">
        <f>'F 1'!D87</f>
        <v>Program...</v>
      </c>
      <c r="D85" s="14"/>
      <c r="E85" s="30"/>
    </row>
    <row r="86" spans="1:5" ht="15.75" thickBot="1">
      <c r="A86" s="61">
        <f>'F 1'!A88</f>
        <v>76</v>
      </c>
      <c r="B86" s="23" t="str">
        <f>'F 1'!B88</f>
        <v>5.7.4</v>
      </c>
      <c r="C86" s="174" t="str">
        <f>'F 1'!D88</f>
        <v>Integraksi...</v>
      </c>
      <c r="D86" s="14"/>
      <c r="E86" s="30"/>
    </row>
    <row r="87" spans="1:5" ht="15.75" thickBot="1">
      <c r="A87" s="61">
        <f>'F 1'!A89</f>
        <v>77</v>
      </c>
      <c r="B87" s="23" t="str">
        <f>'F 1'!B89</f>
        <v>5.8</v>
      </c>
      <c r="C87" s="174" t="str">
        <f>'F 1'!D89</f>
        <v>Pembekalan...</v>
      </c>
      <c r="D87" s="14"/>
      <c r="E87" s="30"/>
    </row>
    <row r="88" spans="1:5" ht="15.75" thickBot="1">
      <c r="A88" s="61">
        <f>'F 1'!A90</f>
        <v>78</v>
      </c>
      <c r="B88" s="23" t="str">
        <f>'F 1'!B90</f>
        <v>5.9</v>
      </c>
      <c r="C88" s="174" t="str">
        <f>'F 1'!D90</f>
        <v>Budaya...</v>
      </c>
      <c r="D88" s="14"/>
      <c r="E88" s="30"/>
    </row>
    <row r="89" spans="1:5" ht="15.75" thickBot="1">
      <c r="A89" s="61">
        <f>'F 1'!A91</f>
        <v>79</v>
      </c>
      <c r="B89" s="23" t="str">
        <f>'F 1'!B91</f>
        <v>6.1</v>
      </c>
      <c r="C89" s="174" t="str">
        <f>'F 1'!D91</f>
        <v>Keterlibatan...</v>
      </c>
      <c r="D89" s="14"/>
      <c r="E89" s="30"/>
    </row>
    <row r="90" spans="1:5" ht="15.75" thickBot="1">
      <c r="A90" s="61">
        <f>'F 1'!A92</f>
        <v>80</v>
      </c>
      <c r="B90" s="23" t="str">
        <f>'F 1'!B92</f>
        <v>6.2.1.1</v>
      </c>
      <c r="C90" s="174" t="str">
        <f>'F 1'!D92</f>
        <v>Persentase...</v>
      </c>
      <c r="D90" s="14"/>
      <c r="E90" s="30"/>
    </row>
    <row r="91" spans="1:5" ht="15.75" thickBot="1">
      <c r="A91" s="61">
        <f>'F 1'!A93</f>
        <v>81</v>
      </c>
      <c r="B91" s="23" t="str">
        <f>'F 1'!B93</f>
        <v>6.2.1.2</v>
      </c>
      <c r="C91" s="174" t="str">
        <f>'F 1'!D93</f>
        <v>Biaya...</v>
      </c>
      <c r="D91" s="14"/>
      <c r="E91" s="30"/>
    </row>
    <row r="92" spans="1:5" ht="15.75" thickBot="1">
      <c r="A92" s="61">
        <f>'F 1'!A94</f>
        <v>82</v>
      </c>
      <c r="B92" s="23" t="str">
        <f>'F 1'!B94</f>
        <v>6.2.2</v>
      </c>
      <c r="C92" s="174" t="str">
        <f>'F 1'!D94</f>
        <v>Dana...</v>
      </c>
      <c r="D92" s="14"/>
      <c r="E92" s="30"/>
    </row>
    <row r="93" spans="1:5" ht="15.75" thickBot="1">
      <c r="A93" s="61">
        <f>'F 1'!A95</f>
        <v>83</v>
      </c>
      <c r="B93" s="23" t="str">
        <f>'F 1'!B95</f>
        <v>6.2.3</v>
      </c>
      <c r="C93" s="174" t="str">
        <f>'F 1'!D95</f>
        <v>Dana...</v>
      </c>
      <c r="D93" s="14"/>
      <c r="E93" s="30"/>
    </row>
    <row r="94" spans="1:5" ht="15.75" thickBot="1">
      <c r="A94" s="61">
        <f>'F 1'!A96</f>
        <v>84</v>
      </c>
      <c r="B94" s="23" t="str">
        <f>'F 1'!B96</f>
        <v>6.3.1</v>
      </c>
      <c r="C94" s="174" t="str">
        <f>'F 1'!D96</f>
        <v>Ruang...</v>
      </c>
      <c r="D94" s="14"/>
      <c r="E94" s="30"/>
    </row>
    <row r="95" spans="1:5" ht="15.75" thickBot="1">
      <c r="A95" s="61">
        <f>'F 1'!A97</f>
        <v>85</v>
      </c>
      <c r="B95" s="23" t="str">
        <f>'F 1'!B97</f>
        <v>6.3.2</v>
      </c>
      <c r="C95" s="174" t="str">
        <f>'F 1'!D97</f>
        <v>Kelengkapan...</v>
      </c>
      <c r="D95" s="14"/>
      <c r="E95" s="30"/>
    </row>
    <row r="96" spans="1:5" ht="15.75" thickBot="1">
      <c r="A96" s="61">
        <f>'F 1'!A98</f>
        <v>86</v>
      </c>
      <c r="B96" s="23" t="str">
        <f>'F 1'!B98</f>
        <v>6.3.3</v>
      </c>
      <c r="C96" s="174" t="str">
        <f>'F 1'!D98</f>
        <v>Kelayakan...</v>
      </c>
      <c r="D96" s="14"/>
      <c r="E96" s="30"/>
    </row>
    <row r="97" spans="1:5" ht="15.75" thickBot="1">
      <c r="A97" s="61">
        <f>'F 1'!A99</f>
        <v>87</v>
      </c>
      <c r="B97" s="23" t="str">
        <f>'F 1'!B99</f>
        <v>6.4.1.1</v>
      </c>
      <c r="C97" s="174" t="str">
        <f>'F 1'!D99</f>
        <v>Bahan ...</v>
      </c>
      <c r="D97" s="14"/>
      <c r="E97" s="30"/>
    </row>
    <row r="98" spans="1:5" ht="15.75" thickBot="1">
      <c r="A98" s="61">
        <f>'F 1'!A100</f>
        <v>88</v>
      </c>
      <c r="B98" s="23" t="str">
        <f>'F 1'!B100</f>
        <v>6.4.1.2</v>
      </c>
      <c r="C98" s="174" t="str">
        <f>'F 1'!D100</f>
        <v>Bahan...</v>
      </c>
      <c r="D98" s="14"/>
      <c r="E98" s="30"/>
    </row>
    <row r="99" spans="1:5" ht="15.75" thickBot="1">
      <c r="A99" s="61">
        <f>'F 1'!A101</f>
        <v>89</v>
      </c>
      <c r="B99" s="23" t="str">
        <f>'F 1'!B101</f>
        <v>6.4.1.3</v>
      </c>
      <c r="C99" s="174" t="str">
        <f>'F 1'!D101</f>
        <v>Bahan...</v>
      </c>
      <c r="D99" s="14"/>
      <c r="E99" s="30"/>
    </row>
    <row r="100" spans="1:5" ht="15.75" thickBot="1">
      <c r="A100" s="61">
        <f>'F 1'!A102</f>
        <v>90</v>
      </c>
      <c r="B100" s="23" t="str">
        <f>'F 1'!B102</f>
        <v>6.4.1.4</v>
      </c>
      <c r="C100" s="174" t="str">
        <f>'F 1'!D102</f>
        <v>Bahan...</v>
      </c>
      <c r="D100" s="14"/>
      <c r="E100" s="30"/>
    </row>
    <row r="101" spans="1:5" ht="15.75" thickBot="1">
      <c r="A101" s="61">
        <f>'F 1'!A103</f>
        <v>91</v>
      </c>
      <c r="B101" s="23" t="str">
        <f>'F 1'!B103</f>
        <v>6.4.1.5</v>
      </c>
      <c r="C101" s="174" t="str">
        <f>'F 1'!D103</f>
        <v>Bahan...</v>
      </c>
      <c r="D101" s="14"/>
      <c r="E101" s="30"/>
    </row>
    <row r="102" spans="1:5" ht="15.75" thickBot="1">
      <c r="A102" s="61">
        <f>'F 1'!A104</f>
        <v>92</v>
      </c>
      <c r="B102" s="23" t="str">
        <f>'F 1'!B104</f>
        <v>6.4.1.6</v>
      </c>
      <c r="C102" s="174" t="str">
        <f>'F 1'!D104</f>
        <v>Bahan...</v>
      </c>
      <c r="D102" s="14"/>
      <c r="E102" s="30"/>
    </row>
    <row r="103" spans="1:5" ht="15.75" thickBot="1">
      <c r="A103" s="61">
        <f>'F 1'!A105</f>
        <v>93</v>
      </c>
      <c r="B103" s="23" t="str">
        <f>'F 1'!B105</f>
        <v>6.4.2</v>
      </c>
      <c r="C103" s="174" t="str">
        <f>'F 1'!D105</f>
        <v>Akses...</v>
      </c>
      <c r="D103" s="14"/>
      <c r="E103" s="30"/>
    </row>
    <row r="104" spans="1:5" ht="15.75" thickBot="1">
      <c r="A104" s="61">
        <f>'F 1'!A106</f>
        <v>94</v>
      </c>
      <c r="B104" s="23" t="str">
        <f>'F 1'!B106</f>
        <v>6.4.3</v>
      </c>
      <c r="C104" s="174" t="str">
        <f>'F 1'!D106</f>
        <v>Ketersediaan</v>
      </c>
      <c r="D104" s="14"/>
      <c r="E104" s="30"/>
    </row>
    <row r="105" spans="1:5" ht="15.75" thickBot="1">
      <c r="A105" s="61">
        <f>'F 1'!A107</f>
        <v>95</v>
      </c>
      <c r="B105" s="23" t="str">
        <f>'F 1'!B107</f>
        <v>6.5.1</v>
      </c>
      <c r="C105" s="174" t="str">
        <f>'F 1'!D107</f>
        <v>Sistem ...</v>
      </c>
      <c r="D105" s="14"/>
      <c r="E105" s="30"/>
    </row>
    <row r="106" spans="1:5" ht="15.75" thickBot="1">
      <c r="A106" s="61">
        <f>'F 1'!A108</f>
        <v>96</v>
      </c>
      <c r="B106" s="23" t="str">
        <f>'F 1'!B108</f>
        <v>6.5.2</v>
      </c>
      <c r="C106" s="174" t="str">
        <f>'F 1'!D108</f>
        <v>Aksesibilitas...</v>
      </c>
      <c r="D106" s="14"/>
      <c r="E106" s="30"/>
    </row>
    <row r="107" spans="1:5" ht="15.75" thickBot="1">
      <c r="A107" s="61">
        <f>'F 1'!A109</f>
        <v>97</v>
      </c>
      <c r="B107" s="23" t="str">
        <f>'F 1'!B109</f>
        <v>7.1.1</v>
      </c>
      <c r="C107" s="174" t="str">
        <f>'F 1'!D109</f>
        <v>Jumlah...</v>
      </c>
      <c r="D107" s="14"/>
      <c r="E107" s="30"/>
    </row>
    <row r="108" spans="1:5" ht="15.75" thickBot="1">
      <c r="A108" s="61">
        <f>'F 1'!A110</f>
        <v>98</v>
      </c>
      <c r="B108" s="23" t="str">
        <f>'F 1'!B110</f>
        <v>7.1.2</v>
      </c>
      <c r="C108" s="174" t="str">
        <f>'F 1'!D110</f>
        <v>Jumlah...</v>
      </c>
      <c r="D108" s="14"/>
      <c r="E108" s="30"/>
    </row>
    <row r="109" spans="1:5" ht="15.75" thickBot="1">
      <c r="A109" s="61">
        <f>'F 1'!A111</f>
        <v>99</v>
      </c>
      <c r="B109" s="23" t="str">
        <f>'F 1'!B111</f>
        <v>7.1.3</v>
      </c>
      <c r="C109" s="174" t="str">
        <f>'F 1'!D111</f>
        <v>Karya...</v>
      </c>
      <c r="D109" s="14"/>
      <c r="E109" s="30"/>
    </row>
    <row r="110" spans="1:5" ht="15.75" thickBot="1">
      <c r="A110" s="61">
        <f>'F 1'!A112</f>
        <v>100</v>
      </c>
      <c r="B110" s="23" t="str">
        <f>'F 1'!B112</f>
        <v>7.2.1</v>
      </c>
      <c r="C110" s="174" t="str">
        <f>'F 1'!D112</f>
        <v>Jumlah...</v>
      </c>
      <c r="D110" s="14"/>
      <c r="E110" s="30"/>
    </row>
    <row r="111" spans="1:5" s="29" customFormat="1" ht="15.75" thickBot="1">
      <c r="A111" s="61">
        <f>'F 1'!A113</f>
        <v>101</v>
      </c>
      <c r="B111" s="23" t="str">
        <f>'F 1'!B113</f>
        <v>7.2.2</v>
      </c>
      <c r="C111" s="174" t="str">
        <f>'F 1'!D113</f>
        <v>Keterlibatan...</v>
      </c>
      <c r="D111" s="14"/>
      <c r="E111" s="30"/>
    </row>
    <row r="112" spans="1:5" s="29" customFormat="1" ht="15.75" thickBot="1">
      <c r="A112" s="61">
        <f>'F 1'!A114</f>
        <v>102</v>
      </c>
      <c r="B112" s="23" t="str">
        <f>'F 1'!B114</f>
        <v>7.3.1</v>
      </c>
      <c r="C112" s="174" t="str">
        <f>'F 1'!D114</f>
        <v>Kegiatan...</v>
      </c>
      <c r="D112" s="14"/>
      <c r="E112" s="30"/>
    </row>
    <row r="113" spans="1:5" s="29" customFormat="1" ht="15.75" thickBot="1">
      <c r="A113" s="61">
        <f>'F 1'!A115</f>
        <v>103</v>
      </c>
      <c r="B113" s="23" t="str">
        <f>'F 1'!B115</f>
        <v>7.3.2</v>
      </c>
      <c r="C113" s="174" t="str">
        <f>'F 1'!D115</f>
        <v>Kegiatan...</v>
      </c>
      <c r="D113" s="14"/>
      <c r="E113" s="30"/>
    </row>
    <row r="114" spans="1:3" ht="20.25" customHeight="1">
      <c r="A114" s="570" t="s">
        <v>114</v>
      </c>
      <c r="B114" s="571"/>
      <c r="C114" s="571"/>
    </row>
    <row r="115" ht="15.75">
      <c r="A115" s="8"/>
    </row>
    <row r="116" spans="1:14" ht="15">
      <c r="A116" s="572" t="s">
        <v>117</v>
      </c>
      <c r="B116" s="569"/>
      <c r="C116" s="569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569"/>
    </row>
    <row r="117" spans="1:5" ht="15">
      <c r="A117" s="572" t="s">
        <v>636</v>
      </c>
      <c r="B117" s="569"/>
      <c r="C117" s="569"/>
      <c r="D117" s="569"/>
      <c r="E117" s="569"/>
    </row>
    <row r="118" ht="15.75">
      <c r="A118" s="8"/>
    </row>
    <row r="119" spans="4:6" ht="15.75">
      <c r="D119" s="26" t="s">
        <v>633</v>
      </c>
      <c r="F119" s="40"/>
    </row>
    <row r="121" spans="1:5" ht="15.75">
      <c r="A121" s="7"/>
      <c r="B121" s="13"/>
      <c r="C121" s="7"/>
      <c r="D121" s="4" t="s">
        <v>115</v>
      </c>
      <c r="E121" s="26" t="s">
        <v>200</v>
      </c>
    </row>
    <row r="122" spans="1:4" ht="61.5" customHeight="1">
      <c r="A122" s="549" t="s">
        <v>637</v>
      </c>
      <c r="B122" s="573"/>
      <c r="C122" s="7"/>
      <c r="D122" s="59" t="s">
        <v>634</v>
      </c>
    </row>
    <row r="123" spans="1:9" ht="16.5" customHeight="1">
      <c r="A123" s="549"/>
      <c r="B123" s="569"/>
      <c r="F123" s="57"/>
      <c r="G123" s="58"/>
      <c r="H123" s="58"/>
      <c r="I123" s="58"/>
    </row>
    <row r="124" spans="1:9" ht="15">
      <c r="A124" s="7"/>
      <c r="B124" s="13"/>
      <c r="F124" s="58"/>
      <c r="G124" s="58"/>
      <c r="H124" s="58"/>
      <c r="I124" s="58"/>
    </row>
    <row r="125" spans="1:7" ht="15">
      <c r="A125" s="7"/>
      <c r="B125" s="13"/>
      <c r="F125" s="7"/>
      <c r="G125" s="7"/>
    </row>
    <row r="126" spans="1:9" ht="15">
      <c r="A126" s="7"/>
      <c r="B126" s="13"/>
      <c r="F126" s="57"/>
      <c r="G126" s="58"/>
      <c r="H126" s="58"/>
      <c r="I126" s="58"/>
    </row>
    <row r="127" spans="1:9" ht="15">
      <c r="A127" s="549" t="s">
        <v>116</v>
      </c>
      <c r="B127" s="569"/>
      <c r="D127" s="59" t="s">
        <v>635</v>
      </c>
      <c r="F127" s="58"/>
      <c r="G127" s="58"/>
      <c r="H127" s="58"/>
      <c r="I127" s="58"/>
    </row>
  </sheetData>
  <sheetProtection/>
  <mergeCells count="7">
    <mergeCell ref="A9:E9"/>
    <mergeCell ref="A127:B127"/>
    <mergeCell ref="A114:C114"/>
    <mergeCell ref="A117:E117"/>
    <mergeCell ref="A116:N116"/>
    <mergeCell ref="A122:B122"/>
    <mergeCell ref="A123:B12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6.00390625" style="0" customWidth="1"/>
    <col min="2" max="2" width="10.28125" style="0" customWidth="1"/>
    <col min="3" max="3" width="28.00390625" style="0" customWidth="1"/>
    <col min="4" max="4" width="28.421875" style="0" customWidth="1"/>
    <col min="5" max="5" width="15.140625" style="0" customWidth="1"/>
  </cols>
  <sheetData>
    <row r="1" spans="1:5" ht="15.75">
      <c r="A1" s="37" t="s">
        <v>643</v>
      </c>
      <c r="B1" s="10"/>
      <c r="C1" s="5"/>
      <c r="D1" s="5"/>
      <c r="E1" s="5"/>
    </row>
    <row r="2" spans="1:5" ht="15.75">
      <c r="A2" s="26"/>
      <c r="B2" s="10"/>
      <c r="C2" s="5"/>
      <c r="D2" s="5"/>
      <c r="E2" s="5"/>
    </row>
    <row r="3" spans="1:5" ht="15.75">
      <c r="A3" s="37" t="s">
        <v>120</v>
      </c>
      <c r="B3" s="10"/>
      <c r="C3" s="5"/>
      <c r="D3" s="5"/>
      <c r="E3" s="5"/>
    </row>
    <row r="4" spans="1:5" ht="15.75">
      <c r="A4" s="37" t="s">
        <v>631</v>
      </c>
      <c r="B4" s="10"/>
      <c r="C4" s="5"/>
      <c r="D4" s="5"/>
      <c r="E4" s="5"/>
    </row>
    <row r="5" spans="1:5" ht="15.75">
      <c r="A5" s="26"/>
      <c r="B5" s="10"/>
      <c r="C5" s="5"/>
      <c r="D5" s="5"/>
      <c r="E5" s="5"/>
    </row>
    <row r="6" spans="1:15" ht="50.25" customHeight="1">
      <c r="A6" s="574" t="s">
        <v>639</v>
      </c>
      <c r="B6" s="574"/>
      <c r="C6" s="574"/>
      <c r="D6" s="574"/>
      <c r="E6" s="574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spans="1:15" ht="45.75" customHeight="1">
      <c r="A7" s="574" t="s">
        <v>638</v>
      </c>
      <c r="B7" s="574"/>
      <c r="C7" s="574"/>
      <c r="D7" s="574"/>
      <c r="E7" s="574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ht="15.75" thickBot="1">
      <c r="A8" s="29"/>
    </row>
    <row r="9" spans="1:5" ht="63" customHeight="1" thickBot="1">
      <c r="A9" s="12" t="s">
        <v>1</v>
      </c>
      <c r="B9" s="11" t="s">
        <v>2</v>
      </c>
      <c r="C9" s="11" t="s">
        <v>121</v>
      </c>
      <c r="D9" s="272" t="s">
        <v>640</v>
      </c>
      <c r="E9" s="11" t="s">
        <v>113</v>
      </c>
    </row>
    <row r="10" spans="1:5" ht="15.75" thickBot="1">
      <c r="A10" s="38">
        <f>'F 3'!A14</f>
        <v>1</v>
      </c>
      <c r="B10" s="3" t="str">
        <f>'F 3'!B14</f>
        <v>1.1.1</v>
      </c>
      <c r="C10" s="175" t="str">
        <f>'F 3'!D14</f>
        <v>Kejelasan... </v>
      </c>
      <c r="D10" s="326"/>
      <c r="E10" s="327"/>
    </row>
    <row r="11" spans="1:5" ht="15.75" thickBot="1">
      <c r="A11" s="38">
        <f>'F 3'!A15</f>
        <v>2</v>
      </c>
      <c r="B11" s="3" t="str">
        <f>'F 3'!B15</f>
        <v>1.1.2</v>
      </c>
      <c r="C11" s="175" t="str">
        <f>'F 3'!D15</f>
        <v>Strategi...</v>
      </c>
      <c r="D11" s="326"/>
      <c r="E11" s="327"/>
    </row>
    <row r="12" spans="1:5" ht="15.75" thickBot="1">
      <c r="A12" s="38">
        <f>'F 3'!A16</f>
        <v>3</v>
      </c>
      <c r="B12" s="3" t="str">
        <f>'F 3'!B16</f>
        <v>1.2</v>
      </c>
      <c r="C12" s="175" t="str">
        <f>'F 3'!D16</f>
        <v>Tingkat...</v>
      </c>
      <c r="D12" s="326"/>
      <c r="E12" s="327"/>
    </row>
    <row r="13" spans="1:5" ht="15.75" thickBot="1">
      <c r="A13" s="38">
        <f>'F 3'!A17</f>
        <v>4</v>
      </c>
      <c r="B13" s="3" t="str">
        <f>'F 3'!B17</f>
        <v>2.1</v>
      </c>
      <c r="C13" s="175" t="str">
        <f>'F 3'!D17</f>
        <v>Tata...</v>
      </c>
      <c r="D13" s="326"/>
      <c r="E13" s="327"/>
    </row>
    <row r="14" spans="1:5" ht="15.75" thickBot="1">
      <c r="A14" s="38">
        <f>'F 3'!A18</f>
        <v>5</v>
      </c>
      <c r="B14" s="3" t="str">
        <f>'F 3'!B18</f>
        <v>2.2</v>
      </c>
      <c r="C14" s="175" t="str">
        <f>'F 3'!D18</f>
        <v>Efisiensi...</v>
      </c>
      <c r="D14" s="326"/>
      <c r="E14" s="327"/>
    </row>
    <row r="15" spans="1:5" ht="15.75" thickBot="1">
      <c r="A15" s="38">
        <f>'F 3'!A19</f>
        <v>6</v>
      </c>
      <c r="B15" s="3" t="str">
        <f>'F 3'!B19</f>
        <v>2.3</v>
      </c>
      <c r="C15" s="175" t="str">
        <f>'F 3'!D19</f>
        <v>Kepemimpinan...</v>
      </c>
      <c r="D15" s="326"/>
      <c r="E15" s="327"/>
    </row>
    <row r="16" spans="1:5" ht="15.75" thickBot="1">
      <c r="A16" s="38">
        <f>'F 3'!A20</f>
        <v>7</v>
      </c>
      <c r="B16" s="3" t="str">
        <f>'F 3'!B20</f>
        <v>2.4</v>
      </c>
      <c r="C16" s="175" t="str">
        <f>'F 3'!D20</f>
        <v>Sistem ...</v>
      </c>
      <c r="D16" s="326"/>
      <c r="E16" s="327"/>
    </row>
    <row r="17" spans="1:5" ht="15.75" thickBot="1">
      <c r="A17" s="38">
        <f>'F 3'!A21</f>
        <v>8</v>
      </c>
      <c r="B17" s="3" t="str">
        <f>'F 3'!B21</f>
        <v>2.5.1</v>
      </c>
      <c r="C17" s="175" t="str">
        <f>'F 3'!D21</f>
        <v>Keberadaan...</v>
      </c>
      <c r="D17" s="326"/>
      <c r="E17" s="327"/>
    </row>
    <row r="18" spans="1:5" ht="15.75" thickBot="1">
      <c r="A18" s="38">
        <f>'F 3'!A22</f>
        <v>9</v>
      </c>
      <c r="B18" s="3" t="str">
        <f>'F 3'!B22</f>
        <v>2.5.2</v>
      </c>
      <c r="C18" s="175" t="str">
        <f>'F 3'!D22</f>
        <v>Ketersediaan...</v>
      </c>
      <c r="D18" s="326"/>
      <c r="E18" s="327"/>
    </row>
    <row r="19" spans="1:5" ht="15.75" thickBot="1">
      <c r="A19" s="38">
        <f>'F 3'!A23</f>
        <v>10</v>
      </c>
      <c r="B19" s="3" t="str">
        <f>'F 3'!B23</f>
        <v>3.1.1</v>
      </c>
      <c r="C19" s="175" t="str">
        <f>'F 3'!D23</f>
        <v>Ketersediaan...</v>
      </c>
      <c r="D19" s="326"/>
      <c r="E19" s="327"/>
    </row>
    <row r="20" spans="1:5" ht="15.75" thickBot="1">
      <c r="A20" s="38">
        <f>'F 3'!A24</f>
        <v>11</v>
      </c>
      <c r="B20" s="3" t="str">
        <f>'F 3'!B24</f>
        <v>3.1.2</v>
      </c>
      <c r="C20" s="175" t="str">
        <f>'F 3'!D24</f>
        <v>Rasio...</v>
      </c>
      <c r="D20" s="326"/>
      <c r="E20" s="327"/>
    </row>
    <row r="21" spans="1:5" ht="15.75" thickBot="1">
      <c r="A21" s="38">
        <f>'F 3'!A25</f>
        <v>12</v>
      </c>
      <c r="B21" s="3" t="str">
        <f>'F 3'!B25</f>
        <v>3.1.3</v>
      </c>
      <c r="C21" s="175" t="str">
        <f>'F 3'!D25</f>
        <v>Tujuan...</v>
      </c>
      <c r="D21" s="326"/>
      <c r="E21" s="327"/>
    </row>
    <row r="22" spans="1:5" ht="15.75" thickBot="1">
      <c r="A22" s="38">
        <f>'F 3'!A26</f>
        <v>13</v>
      </c>
      <c r="B22" s="3" t="str">
        <f>'F 3'!B26</f>
        <v>3.2.1.1</v>
      </c>
      <c r="C22" s="175" t="str">
        <f>'F 3'!D26</f>
        <v>Rata...</v>
      </c>
      <c r="D22" s="326"/>
      <c r="E22" s="327"/>
    </row>
    <row r="23" spans="1:5" ht="15.75" thickBot="1">
      <c r="A23" s="38">
        <f>'F 3'!A27</f>
        <v>14</v>
      </c>
      <c r="B23" s="3" t="str">
        <f>'F 3'!B27</f>
        <v>3.2.1.2</v>
      </c>
      <c r="C23" s="175" t="str">
        <f>'F 3'!D27</f>
        <v>Rata...</v>
      </c>
      <c r="D23" s="326"/>
      <c r="E23" s="327"/>
    </row>
    <row r="24" spans="1:5" ht="15.75" thickBot="1">
      <c r="A24" s="38">
        <f>'F 3'!A28</f>
        <v>15</v>
      </c>
      <c r="B24" s="3" t="str">
        <f>'F 3'!B28</f>
        <v>3.2.2</v>
      </c>
      <c r="C24" s="175" t="str">
        <f>'F 3'!D28</f>
        <v>Upaya...</v>
      </c>
      <c r="D24" s="326"/>
      <c r="E24" s="327"/>
    </row>
    <row r="25" spans="1:5" ht="15.75" thickBot="1">
      <c r="A25" s="38">
        <f>'F 3'!A29</f>
        <v>16</v>
      </c>
      <c r="B25" s="3" t="str">
        <f>'F 3'!B29</f>
        <v>4.1.1</v>
      </c>
      <c r="C25" s="175" t="str">
        <f>'F 3'!D29</f>
        <v>Kecukupan...</v>
      </c>
      <c r="D25" s="326"/>
      <c r="E25" s="327"/>
    </row>
    <row r="26" spans="1:5" ht="15.75" thickBot="1">
      <c r="A26" s="38">
        <f>'F 3'!A30</f>
        <v>17</v>
      </c>
      <c r="B26" s="3" t="str">
        <f>'F 3'!B30</f>
        <v>4.1.2</v>
      </c>
      <c r="C26" s="175" t="str">
        <f>'F 3'!D30</f>
        <v>Dosen...</v>
      </c>
      <c r="D26" s="326"/>
      <c r="E26" s="327"/>
    </row>
    <row r="27" spans="1:5" ht="15.75" thickBot="1">
      <c r="A27" s="38">
        <f>'F 3'!A31</f>
        <v>18</v>
      </c>
      <c r="B27" s="3" t="str">
        <f>'F 3'!B31</f>
        <v>4.1.3</v>
      </c>
      <c r="C27" s="175" t="str">
        <f>'F 3'!D31</f>
        <v>Upaya...</v>
      </c>
      <c r="D27" s="326"/>
      <c r="E27" s="327"/>
    </row>
    <row r="28" spans="1:5" ht="15.75" thickBot="1">
      <c r="A28" s="38">
        <f>'F 3'!A32</f>
        <v>19</v>
      </c>
      <c r="B28" s="3" t="str">
        <f>'F 3'!B32</f>
        <v>4.2</v>
      </c>
      <c r="C28" s="175" t="str">
        <f>'F 3'!D32</f>
        <v>Kecukupan...</v>
      </c>
      <c r="D28" s="326"/>
      <c r="E28" s="327"/>
    </row>
    <row r="29" spans="1:5" ht="15.75" thickBot="1">
      <c r="A29" s="38">
        <f>'F 3'!A33</f>
        <v>20</v>
      </c>
      <c r="B29" s="3" t="str">
        <f>'F 3'!B33</f>
        <v>5.1</v>
      </c>
      <c r="C29" s="175" t="str">
        <f>'F 3'!D33</f>
        <v>Bentuk...</v>
      </c>
      <c r="D29" s="326"/>
      <c r="E29" s="327"/>
    </row>
    <row r="30" spans="1:5" ht="15.75" thickBot="1">
      <c r="A30" s="38">
        <f>'F 3'!A34</f>
        <v>21</v>
      </c>
      <c r="B30" s="3" t="str">
        <f>'F 3'!B34</f>
        <v>5.2</v>
      </c>
      <c r="C30" s="175" t="str">
        <f>'F 3'!D34</f>
        <v>Unit...</v>
      </c>
      <c r="D30" s="326"/>
      <c r="E30" s="327"/>
    </row>
    <row r="31" spans="1:5" ht="15.75" thickBot="1">
      <c r="A31" s="38">
        <f>'F 3'!A35</f>
        <v>22</v>
      </c>
      <c r="B31" s="3" t="str">
        <f>'F 3'!B35</f>
        <v>5.3</v>
      </c>
      <c r="C31" s="175" t="str">
        <f>'F 3'!D35</f>
        <v>Dukungan...</v>
      </c>
      <c r="D31" s="326"/>
      <c r="E31" s="327"/>
    </row>
    <row r="32" spans="1:5" ht="15.75" thickBot="1">
      <c r="A32" s="38">
        <f>'F 3'!A36</f>
        <v>23</v>
      </c>
      <c r="B32" s="3" t="str">
        <f>'F 3'!B36</f>
        <v>6.1.1.1</v>
      </c>
      <c r="C32" s="175" t="str">
        <f>'F 3'!D36</f>
        <v>Persentase...</v>
      </c>
      <c r="D32" s="326"/>
      <c r="E32" s="327"/>
    </row>
    <row r="33" spans="1:5" ht="15.75" thickBot="1">
      <c r="A33" s="38">
        <f>'F 3'!A37</f>
        <v>24</v>
      </c>
      <c r="B33" s="3" t="str">
        <f>'F 3'!B37</f>
        <v>6.1.1.2</v>
      </c>
      <c r="C33" s="175" t="str">
        <f>'F 3'!D37</f>
        <v>Persentase...</v>
      </c>
      <c r="D33" s="326"/>
      <c r="E33" s="327"/>
    </row>
    <row r="34" spans="1:5" ht="15.75" thickBot="1">
      <c r="A34" s="38">
        <f>'F 3'!A38</f>
        <v>25</v>
      </c>
      <c r="B34" s="3" t="str">
        <f>'F 3'!B38</f>
        <v>6.1.1.3</v>
      </c>
      <c r="C34" s="175" t="str">
        <f>'F 3'!D38</f>
        <v>Dana ...</v>
      </c>
      <c r="D34" s="326"/>
      <c r="E34" s="327"/>
    </row>
    <row r="35" spans="1:5" ht="15.75" thickBot="1">
      <c r="A35" s="38">
        <f>'F 3'!A39</f>
        <v>26</v>
      </c>
      <c r="B35" s="3" t="str">
        <f>'F 3'!B39</f>
        <v>6.1.1.4</v>
      </c>
      <c r="C35" s="175" t="str">
        <f>'F 3'!D39</f>
        <v>Dana...</v>
      </c>
      <c r="D35" s="326"/>
      <c r="E35" s="327"/>
    </row>
    <row r="36" spans="1:5" ht="15.75" thickBot="1">
      <c r="A36" s="38">
        <f>'F 3'!A40</f>
        <v>27</v>
      </c>
      <c r="B36" s="3" t="str">
        <f>'F 3'!B40</f>
        <v>6.1.2.1</v>
      </c>
      <c r="C36" s="175" t="str">
        <f>'F 3'!D40</f>
        <v>Kecukupan...</v>
      </c>
      <c r="D36" s="326"/>
      <c r="E36" s="327"/>
    </row>
    <row r="37" spans="1:5" ht="15.75" thickBot="1">
      <c r="A37" s="38">
        <f>'F 3'!A41</f>
        <v>28</v>
      </c>
      <c r="B37" s="3" t="str">
        <f>'F 3'!B41</f>
        <v>6.1.2.2</v>
      </c>
      <c r="C37" s="175" t="str">
        <f>'F 3'!D41</f>
        <v>Upaya...</v>
      </c>
      <c r="D37" s="326"/>
      <c r="E37" s="327"/>
    </row>
    <row r="38" spans="1:5" ht="15.75" thickBot="1">
      <c r="A38" s="38">
        <f>'F 3'!A42</f>
        <v>29</v>
      </c>
      <c r="B38" s="3" t="str">
        <f>'F 3'!B42</f>
        <v>6.2.1</v>
      </c>
      <c r="C38" s="175" t="str">
        <f>'F 3'!D42</f>
        <v>Investasi...</v>
      </c>
      <c r="D38" s="326"/>
      <c r="E38" s="327"/>
    </row>
    <row r="39" spans="1:5" ht="15.75" thickBot="1">
      <c r="A39" s="38">
        <f>'F 3'!A43</f>
        <v>30</v>
      </c>
      <c r="B39" s="3" t="str">
        <f>'F 3'!B43</f>
        <v>6.2.2</v>
      </c>
      <c r="C39" s="175" t="str">
        <f>'F 3'!D43</f>
        <v>Rencana...</v>
      </c>
      <c r="D39" s="326"/>
      <c r="E39" s="327"/>
    </row>
    <row r="40" spans="1:5" ht="15.75" thickBot="1">
      <c r="A40" s="38">
        <f>'F 3'!A44</f>
        <v>31</v>
      </c>
      <c r="B40" s="3" t="str">
        <f>'F 3'!B44</f>
        <v>6.3.1</v>
      </c>
      <c r="C40" s="175" t="str">
        <f>'F 3'!D44</f>
        <v>Mutu...</v>
      </c>
      <c r="D40" s="326"/>
      <c r="E40" s="327"/>
    </row>
    <row r="41" spans="1:5" ht="15.75" thickBot="1">
      <c r="A41" s="38">
        <f>'F 3'!A45</f>
        <v>32</v>
      </c>
      <c r="B41" s="3" t="str">
        <f>'F 3'!B45</f>
        <v>6.3.2</v>
      </c>
      <c r="C41" s="175" t="str">
        <f>'F 3'!D45</f>
        <v>Rencana...</v>
      </c>
      <c r="D41" s="326"/>
      <c r="E41" s="327"/>
    </row>
    <row r="42" spans="1:5" ht="15.75" thickBot="1">
      <c r="A42" s="38">
        <f>'F 3'!A46</f>
        <v>33</v>
      </c>
      <c r="B42" s="3" t="str">
        <f>'F 3'!B46</f>
        <v>6.4.1.1</v>
      </c>
      <c r="C42" s="175" t="str">
        <f>'F 3'!D46</f>
        <v>Pemanfaatan...</v>
      </c>
      <c r="D42" s="326"/>
      <c r="E42" s="327"/>
    </row>
    <row r="43" spans="1:5" ht="15.75" thickBot="1">
      <c r="A43" s="38">
        <f>'F 3'!A47</f>
        <v>34</v>
      </c>
      <c r="B43" s="3" t="str">
        <f>'F 3'!B47</f>
        <v>6.4.1.2</v>
      </c>
      <c r="C43" s="175" t="str">
        <f>'F 3'!D47</f>
        <v>Pemanfaatan...</v>
      </c>
      <c r="D43" s="326"/>
      <c r="E43" s="327"/>
    </row>
    <row r="44" spans="1:5" ht="15.75" thickBot="1">
      <c r="A44" s="38">
        <f>'F 3'!A48</f>
        <v>35</v>
      </c>
      <c r="B44" s="3" t="str">
        <f>'F 3'!B48</f>
        <v>6.4.1.3</v>
      </c>
      <c r="C44" s="175" t="str">
        <f>'F 3'!D48</f>
        <v>Pemanfaatan...</v>
      </c>
      <c r="D44" s="326"/>
      <c r="E44" s="327"/>
    </row>
    <row r="45" spans="1:5" ht="15.75" thickBot="1">
      <c r="A45" s="38">
        <f>'F 3'!A49</f>
        <v>36</v>
      </c>
      <c r="B45" s="3" t="str">
        <f>'F 3'!B49</f>
        <v>6.4.2</v>
      </c>
      <c r="C45" s="175" t="str">
        <f>'F 3'!D49</f>
        <v>Aksesibilitas...</v>
      </c>
      <c r="D45" s="326"/>
      <c r="E45" s="327"/>
    </row>
    <row r="46" spans="1:5" ht="15.75" thickBot="1">
      <c r="A46" s="38">
        <f>'F 3'!A50</f>
        <v>37</v>
      </c>
      <c r="B46" s="3" t="str">
        <f>'F 3'!B50</f>
        <v>6.4.3</v>
      </c>
      <c r="C46" s="175" t="str">
        <f>'F 3'!D50</f>
        <v>Media...</v>
      </c>
      <c r="D46" s="326"/>
      <c r="E46" s="327"/>
    </row>
    <row r="47" spans="1:5" ht="15.75" thickBot="1">
      <c r="A47" s="38">
        <f>'F 3'!A51</f>
        <v>38</v>
      </c>
      <c r="B47" s="3" t="str">
        <f>'F 3'!B51</f>
        <v>6.4.4</v>
      </c>
      <c r="C47" s="175" t="str">
        <f>'F 3'!D51</f>
        <v>Rencana...</v>
      </c>
      <c r="D47" s="326"/>
      <c r="E47" s="327"/>
    </row>
    <row r="48" spans="1:5" ht="15.75" thickBot="1">
      <c r="A48" s="38">
        <f>'F 3'!A52</f>
        <v>39</v>
      </c>
      <c r="B48" s="3" t="str">
        <f>'F 3'!B52</f>
        <v>7.1.1.1</v>
      </c>
      <c r="C48" s="175" t="str">
        <f>'F 3'!D52</f>
        <v>Banyaknya...</v>
      </c>
      <c r="D48" s="326"/>
      <c r="E48" s="327"/>
    </row>
    <row r="49" spans="1:5" ht="15.75" thickBot="1">
      <c r="A49" s="38">
        <f>'F 3'!A53</f>
        <v>40</v>
      </c>
      <c r="B49" s="3" t="str">
        <f>'F 3'!B53</f>
        <v>7.1.1.2</v>
      </c>
      <c r="C49" s="175" t="str">
        <f>'F 3'!D53</f>
        <v>Besar...</v>
      </c>
      <c r="D49" s="326"/>
      <c r="E49" s="327"/>
    </row>
    <row r="50" spans="1:5" ht="15.75" thickBot="1">
      <c r="A50" s="38">
        <f>'F 3'!A54</f>
        <v>41</v>
      </c>
      <c r="B50" s="3" t="str">
        <f>'F 3'!B54</f>
        <v>7.1.2</v>
      </c>
      <c r="C50" s="175" t="str">
        <f>'F 3'!D54</f>
        <v>Upaya...</v>
      </c>
      <c r="D50" s="326"/>
      <c r="E50" s="327"/>
    </row>
    <row r="51" spans="1:5" ht="15.75" thickBot="1">
      <c r="A51" s="38">
        <f>'F 3'!A55</f>
        <v>42</v>
      </c>
      <c r="B51" s="3" t="str">
        <f>'F 3'!B55</f>
        <v>7.2.1.1</v>
      </c>
      <c r="C51" s="175" t="str">
        <f>'F 3'!D55</f>
        <v>Banyak...</v>
      </c>
      <c r="D51" s="326"/>
      <c r="E51" s="327"/>
    </row>
    <row r="52" spans="1:5" ht="15.75" thickBot="1">
      <c r="A52" s="38">
        <f>'F 3'!A56</f>
        <v>43</v>
      </c>
      <c r="B52" s="3" t="str">
        <f>'F 3'!B56</f>
        <v>7.2.1.2</v>
      </c>
      <c r="C52" s="175" t="str">
        <f>'F 3'!D56</f>
        <v>Besar...</v>
      </c>
      <c r="D52" s="326"/>
      <c r="E52" s="327"/>
    </row>
    <row r="53" spans="1:5" ht="15.75" thickBot="1">
      <c r="A53" s="38">
        <f>'F 3'!A57</f>
        <v>44</v>
      </c>
      <c r="B53" s="3" t="str">
        <f>'F 3'!B57</f>
        <v>7.2.2</v>
      </c>
      <c r="C53" s="175" t="str">
        <f>'F 3'!D57</f>
        <v>Upaya...</v>
      </c>
      <c r="D53" s="326"/>
      <c r="E53" s="327"/>
    </row>
    <row r="54" spans="1:5" s="29" customFormat="1" ht="15.75" thickBot="1">
      <c r="A54" s="38">
        <f>'F 3'!A58</f>
        <v>45</v>
      </c>
      <c r="B54" s="3" t="str">
        <f>'F 3'!B58</f>
        <v>7.3.1</v>
      </c>
      <c r="C54" s="175" t="str">
        <f>'F 3'!D58</f>
        <v>Kegiatan...</v>
      </c>
      <c r="D54" s="326"/>
      <c r="E54" s="327"/>
    </row>
    <row r="55" spans="1:5" s="29" customFormat="1" ht="15.75" thickBot="1">
      <c r="A55" s="38">
        <f>'F 3'!A59</f>
        <v>46</v>
      </c>
      <c r="B55" s="3" t="str">
        <f>'F 3'!B59</f>
        <v>7.3.2</v>
      </c>
      <c r="C55" s="175" t="str">
        <f>'F 3'!D59</f>
        <v>Kegiatan...</v>
      </c>
      <c r="D55" s="326"/>
      <c r="E55" s="327"/>
    </row>
    <row r="57" spans="1:5" ht="15">
      <c r="A57" s="575" t="s">
        <v>114</v>
      </c>
      <c r="B57" s="576"/>
      <c r="C57" s="576"/>
      <c r="D57" s="5"/>
      <c r="E57" s="5"/>
    </row>
    <row r="58" spans="1:5" ht="15.75">
      <c r="A58" s="8"/>
      <c r="B58" s="10"/>
      <c r="C58" s="5"/>
      <c r="D58" s="5"/>
      <c r="E58" s="5"/>
    </row>
    <row r="59" spans="1:14" ht="15">
      <c r="A59" s="572" t="s">
        <v>201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</row>
    <row r="60" spans="1:5" ht="15">
      <c r="A60" s="572" t="s">
        <v>202</v>
      </c>
      <c r="B60" s="569"/>
      <c r="C60" s="569"/>
      <c r="D60" s="569"/>
      <c r="E60" s="569"/>
    </row>
    <row r="61" spans="1:5" ht="15.75">
      <c r="A61" s="8"/>
      <c r="B61" s="10"/>
      <c r="C61" s="5"/>
      <c r="D61" s="5"/>
      <c r="E61" s="5"/>
    </row>
    <row r="62" spans="1:7" ht="15.75">
      <c r="A62" s="5"/>
      <c r="B62" s="10"/>
      <c r="C62" s="5"/>
      <c r="D62" s="65" t="str">
        <f>'F 4'!D119</f>
        <v>..........., .... - .... - 2010</v>
      </c>
      <c r="E62" s="65"/>
      <c r="F62" s="65"/>
      <c r="G62" s="65"/>
    </row>
    <row r="63" spans="1:5" ht="15">
      <c r="A63" s="5"/>
      <c r="B63" s="10"/>
      <c r="C63" s="5"/>
      <c r="D63" s="5"/>
      <c r="E63" s="5"/>
    </row>
    <row r="64" spans="1:5" ht="15">
      <c r="A64" s="7"/>
      <c r="B64" s="13"/>
      <c r="C64" s="7"/>
      <c r="D64" s="7"/>
      <c r="E64" s="5"/>
    </row>
    <row r="65" spans="1:5" ht="15" customHeight="1">
      <c r="A65" s="325" t="s">
        <v>641</v>
      </c>
      <c r="B65" s="325"/>
      <c r="C65" s="325"/>
      <c r="D65" s="4" t="s">
        <v>115</v>
      </c>
      <c r="E65" s="26" t="s">
        <v>200</v>
      </c>
    </row>
    <row r="66" spans="1:9" ht="15" customHeight="1">
      <c r="A66" s="325"/>
      <c r="B66" s="325"/>
      <c r="C66" s="325"/>
      <c r="D66" s="60"/>
      <c r="E66" s="5"/>
      <c r="G66" s="58"/>
      <c r="H66" s="58"/>
      <c r="I66" s="58"/>
    </row>
    <row r="67" spans="1:9" s="29" customFormat="1" ht="15" customHeight="1">
      <c r="A67" s="325"/>
      <c r="B67" s="325"/>
      <c r="C67" s="325"/>
      <c r="D67" s="271" t="str">
        <f>'F 4'!D122</f>
        <v>1. ...</v>
      </c>
      <c r="E67" s="5"/>
      <c r="G67" s="269"/>
      <c r="H67" s="269"/>
      <c r="I67" s="269"/>
    </row>
    <row r="68" spans="1:9" s="29" customFormat="1" ht="15" customHeight="1">
      <c r="A68" s="325"/>
      <c r="B68" s="325"/>
      <c r="C68" s="325"/>
      <c r="D68" s="271"/>
      <c r="E68" s="5"/>
      <c r="G68" s="269"/>
      <c r="H68" s="269"/>
      <c r="I68" s="269"/>
    </row>
    <row r="69" spans="1:9" ht="15">
      <c r="A69" s="7"/>
      <c r="B69" s="13"/>
      <c r="C69" s="5"/>
      <c r="D69" s="5"/>
      <c r="E69" s="5"/>
      <c r="F69" s="58"/>
      <c r="G69" s="58"/>
      <c r="H69" s="58"/>
      <c r="I69" s="58"/>
    </row>
    <row r="70" spans="1:7" ht="15">
      <c r="A70" s="7"/>
      <c r="B70" s="13"/>
      <c r="C70" s="5"/>
      <c r="D70" s="5"/>
      <c r="E70" s="5"/>
      <c r="F70" s="7"/>
      <c r="G70" s="7"/>
    </row>
    <row r="71" spans="1:9" ht="15">
      <c r="A71" s="549" t="s">
        <v>642</v>
      </c>
      <c r="B71" s="549"/>
      <c r="C71" s="549"/>
      <c r="D71" s="60" t="str">
        <f>'F 4'!D127</f>
        <v>2. ....</v>
      </c>
      <c r="E71" s="5"/>
      <c r="G71" s="58"/>
      <c r="H71" s="58"/>
      <c r="I71" s="58"/>
    </row>
    <row r="72" spans="1:9" ht="15">
      <c r="A72" s="549"/>
      <c r="B72" s="569"/>
      <c r="C72" s="5"/>
      <c r="D72" s="5"/>
      <c r="E72" s="5"/>
      <c r="F72" s="58"/>
      <c r="G72" s="58"/>
      <c r="H72" s="58"/>
      <c r="I72" s="58"/>
    </row>
    <row r="73" spans="1:5" ht="15">
      <c r="A73" s="5"/>
      <c r="B73" s="10"/>
      <c r="C73" s="5"/>
      <c r="D73" s="5"/>
      <c r="E73" s="5"/>
    </row>
  </sheetData>
  <sheetProtection/>
  <mergeCells count="7">
    <mergeCell ref="A6:E6"/>
    <mergeCell ref="A71:C71"/>
    <mergeCell ref="A72:B72"/>
    <mergeCell ref="A57:C57"/>
    <mergeCell ref="A59:N59"/>
    <mergeCell ref="A60:E60"/>
    <mergeCell ref="A7:E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04">
      <selection activeCell="J12" sqref="J12"/>
    </sheetView>
  </sheetViews>
  <sheetFormatPr defaultColWidth="9.140625" defaultRowHeight="15"/>
  <cols>
    <col min="1" max="1" width="5.00390625" style="0" customWidth="1"/>
    <col min="3" max="3" width="6.57421875" style="5" customWidth="1"/>
    <col min="4" max="4" width="7.140625" style="10" customWidth="1"/>
    <col min="5" max="5" width="7.28125" style="5" customWidth="1"/>
    <col min="6" max="6" width="35.57421875" style="0" customWidth="1"/>
    <col min="7" max="7" width="18.7109375" style="0" customWidth="1"/>
    <col min="9" max="9" width="9.140625" style="5" customWidth="1"/>
    <col min="11" max="11" width="14.57421875" style="0" customWidth="1"/>
  </cols>
  <sheetData>
    <row r="1" spans="1:11" ht="15.75">
      <c r="A1" s="396" t="s">
        <v>122</v>
      </c>
      <c r="B1" s="98"/>
      <c r="C1" s="101"/>
      <c r="D1" s="102"/>
      <c r="E1" s="101"/>
      <c r="F1" s="98"/>
      <c r="G1" s="98"/>
      <c r="H1" s="98"/>
      <c r="I1" s="101"/>
      <c r="J1" s="98"/>
      <c r="K1" s="98"/>
    </row>
    <row r="2" spans="1:11" ht="15.75">
      <c r="A2" s="397"/>
      <c r="B2" s="98"/>
      <c r="C2" s="101"/>
      <c r="D2" s="102"/>
      <c r="E2" s="101"/>
      <c r="F2" s="98"/>
      <c r="G2" s="98"/>
      <c r="H2" s="98"/>
      <c r="I2" s="101"/>
      <c r="J2" s="98"/>
      <c r="K2" s="98"/>
    </row>
    <row r="3" spans="1:11" ht="15.75" customHeight="1">
      <c r="A3" s="278" t="s">
        <v>66</v>
      </c>
      <c r="B3" s="104"/>
      <c r="C3" s="104"/>
      <c r="D3" s="105"/>
      <c r="E3" s="398" t="str">
        <f>'F 1'!D5</f>
        <v>: ...</v>
      </c>
      <c r="F3" s="98"/>
      <c r="G3" s="98"/>
      <c r="H3" s="98"/>
      <c r="I3" s="101"/>
      <c r="J3" s="98"/>
      <c r="K3" s="98"/>
    </row>
    <row r="4" spans="1:11" ht="15.75" customHeight="1">
      <c r="A4" s="278" t="s">
        <v>67</v>
      </c>
      <c r="B4" s="104"/>
      <c r="C4" s="104"/>
      <c r="D4" s="106"/>
      <c r="E4" s="398" t="str">
        <f>'F 1'!D6</f>
        <v>: ...</v>
      </c>
      <c r="F4" s="98"/>
      <c r="G4" s="98"/>
      <c r="H4" s="98"/>
      <c r="I4" s="101"/>
      <c r="J4" s="98"/>
      <c r="K4" s="98"/>
    </row>
    <row r="5" spans="1:11" ht="15.75" customHeight="1">
      <c r="A5" s="399" t="s">
        <v>68</v>
      </c>
      <c r="B5" s="399"/>
      <c r="C5" s="399"/>
      <c r="D5" s="399"/>
      <c r="E5" s="398" t="str">
        <f>'F 1'!D7</f>
        <v>: ...</v>
      </c>
      <c r="F5" s="98"/>
      <c r="G5" s="98"/>
      <c r="H5" s="98"/>
      <c r="I5" s="101"/>
      <c r="J5" s="98"/>
      <c r="K5" s="98"/>
    </row>
    <row r="6" spans="1:11" ht="15.75" customHeight="1">
      <c r="A6" s="278"/>
      <c r="B6" s="104"/>
      <c r="C6" s="104"/>
      <c r="D6" s="106"/>
      <c r="E6" s="101"/>
      <c r="F6" s="98"/>
      <c r="G6" s="98"/>
      <c r="H6" s="98"/>
      <c r="I6" s="101"/>
      <c r="J6" s="98"/>
      <c r="K6" s="98"/>
    </row>
    <row r="7" spans="1:16" ht="15.75">
      <c r="A7" s="114" t="s">
        <v>127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382"/>
      <c r="M7" s="382"/>
      <c r="N7" s="382"/>
      <c r="O7" s="382"/>
      <c r="P7" s="382"/>
    </row>
    <row r="8" spans="1:11" ht="16.5" thickBot="1">
      <c r="A8" s="284" t="s">
        <v>128</v>
      </c>
      <c r="B8" s="198"/>
      <c r="C8" s="198"/>
      <c r="D8" s="198"/>
      <c r="E8" s="198"/>
      <c r="F8" s="198"/>
      <c r="G8" s="198"/>
      <c r="H8" s="198"/>
      <c r="I8" s="198"/>
      <c r="J8" s="98"/>
      <c r="K8" s="98"/>
    </row>
    <row r="9" spans="1:11" ht="24" customHeight="1" thickBot="1">
      <c r="A9" s="581" t="s">
        <v>1</v>
      </c>
      <c r="B9" s="581" t="s">
        <v>123</v>
      </c>
      <c r="C9" s="584" t="s">
        <v>71</v>
      </c>
      <c r="D9" s="584"/>
      <c r="E9" s="584"/>
      <c r="F9" s="581" t="s">
        <v>644</v>
      </c>
      <c r="G9" s="581" t="s">
        <v>124</v>
      </c>
      <c r="H9" s="98"/>
      <c r="I9" s="577" t="s">
        <v>168</v>
      </c>
      <c r="J9" s="577"/>
      <c r="K9" s="577" t="s">
        <v>197</v>
      </c>
    </row>
    <row r="10" spans="1:11" ht="30.75" customHeight="1" hidden="1" thickBot="1">
      <c r="A10" s="582"/>
      <c r="B10" s="582"/>
      <c r="C10" s="152" t="s">
        <v>72</v>
      </c>
      <c r="D10" s="107" t="s">
        <v>73</v>
      </c>
      <c r="E10" s="152" t="s">
        <v>74</v>
      </c>
      <c r="F10" s="582"/>
      <c r="G10" s="582"/>
      <c r="H10" s="98"/>
      <c r="I10" s="577"/>
      <c r="J10" s="577"/>
      <c r="K10" s="577"/>
    </row>
    <row r="11" spans="1:11" s="29" customFormat="1" ht="33" customHeight="1" thickBot="1">
      <c r="A11" s="583"/>
      <c r="B11" s="583"/>
      <c r="C11" s="400" t="s">
        <v>72</v>
      </c>
      <c r="D11" s="400" t="s">
        <v>73</v>
      </c>
      <c r="E11" s="400" t="s">
        <v>74</v>
      </c>
      <c r="F11" s="583"/>
      <c r="G11" s="583"/>
      <c r="H11" s="98"/>
      <c r="I11" s="577"/>
      <c r="J11" s="577"/>
      <c r="K11" s="577"/>
    </row>
    <row r="12" spans="1:11" ht="15.75" thickBot="1">
      <c r="A12" s="401">
        <f>'F 4'!A11</f>
        <v>1</v>
      </c>
      <c r="B12" s="402" t="str">
        <f>'F 4'!B11</f>
        <v>1.1.1</v>
      </c>
      <c r="C12" s="403"/>
      <c r="D12" s="123"/>
      <c r="E12" s="403">
        <f>(C12+D12)/2</f>
        <v>0</v>
      </c>
      <c r="F12" s="404">
        <f>'F 4'!D11</f>
        <v>0</v>
      </c>
      <c r="G12" s="405"/>
      <c r="H12" s="98"/>
      <c r="I12" s="408">
        <f>'F 1'!E13</f>
        <v>0.75</v>
      </c>
      <c r="J12" s="408">
        <f>E12*I12</f>
        <v>0</v>
      </c>
      <c r="K12" s="408">
        <f>'F 1'!F13</f>
        <v>1</v>
      </c>
    </row>
    <row r="13" spans="1:11" ht="15.75" thickBot="1">
      <c r="A13" s="401">
        <f>'F 4'!A12</f>
        <v>2</v>
      </c>
      <c r="B13" s="402" t="str">
        <f>'F 4'!B12</f>
        <v>1.1.2</v>
      </c>
      <c r="C13" s="403"/>
      <c r="D13" s="123"/>
      <c r="E13" s="403">
        <f aca="true" t="shared" si="0" ref="E13:E76">(C13+D13)/2</f>
        <v>0</v>
      </c>
      <c r="F13" s="281">
        <f>'F 4'!D12</f>
        <v>0</v>
      </c>
      <c r="G13" s="406"/>
      <c r="H13" s="98"/>
      <c r="I13" s="408">
        <f>'F 1'!E14</f>
        <v>1.5</v>
      </c>
      <c r="J13" s="408">
        <f aca="true" t="shared" si="1" ref="J13:J76">E13*I13</f>
        <v>0</v>
      </c>
      <c r="K13" s="408">
        <f>'F 1'!F14</f>
        <v>1</v>
      </c>
    </row>
    <row r="14" spans="1:11" ht="15.75" thickBot="1">
      <c r="A14" s="401">
        <f>'F 4'!A13</f>
        <v>3</v>
      </c>
      <c r="B14" s="402" t="str">
        <f>'F 4'!B13</f>
        <v>1.2</v>
      </c>
      <c r="C14" s="403"/>
      <c r="D14" s="123"/>
      <c r="E14" s="403">
        <f t="shared" si="0"/>
        <v>0</v>
      </c>
      <c r="F14" s="281">
        <f>'F 4'!D13</f>
        <v>0</v>
      </c>
      <c r="G14" s="406"/>
      <c r="H14" s="98"/>
      <c r="I14" s="408">
        <f>'F 1'!E15</f>
        <v>0.75</v>
      </c>
      <c r="J14" s="408">
        <f t="shared" si="1"/>
        <v>0</v>
      </c>
      <c r="K14" s="408">
        <f>'F 1'!F15</f>
        <v>1</v>
      </c>
    </row>
    <row r="15" spans="1:11" ht="15.75" thickBot="1">
      <c r="A15" s="401">
        <f>'F 4'!A14</f>
        <v>4</v>
      </c>
      <c r="B15" s="402" t="str">
        <f>'F 4'!B14</f>
        <v>2.1</v>
      </c>
      <c r="C15" s="403"/>
      <c r="D15" s="123"/>
      <c r="E15" s="403">
        <f t="shared" si="0"/>
        <v>0</v>
      </c>
      <c r="F15" s="281">
        <f>'F 4'!D14</f>
        <v>0</v>
      </c>
      <c r="G15" s="406"/>
      <c r="H15" s="98"/>
      <c r="I15" s="408">
        <f>'F 1'!E16</f>
        <v>1.0909090909090908</v>
      </c>
      <c r="J15" s="408">
        <f t="shared" si="1"/>
        <v>0</v>
      </c>
      <c r="K15" s="408">
        <f>'F 1'!F16</f>
        <v>0</v>
      </c>
    </row>
    <row r="16" spans="1:11" ht="15.75" thickBot="1">
      <c r="A16" s="401">
        <f>'F 4'!A15</f>
        <v>5</v>
      </c>
      <c r="B16" s="402" t="str">
        <f>'F 4'!B15</f>
        <v>2.2</v>
      </c>
      <c r="C16" s="403"/>
      <c r="D16" s="123"/>
      <c r="E16" s="403">
        <f t="shared" si="0"/>
        <v>0</v>
      </c>
      <c r="F16" s="281">
        <f>'F 4'!D15</f>
        <v>0</v>
      </c>
      <c r="G16" s="406"/>
      <c r="H16" s="98"/>
      <c r="I16" s="408">
        <f>'F 1'!E17</f>
        <v>0.5454545454545454</v>
      </c>
      <c r="J16" s="408">
        <f t="shared" si="1"/>
        <v>0</v>
      </c>
      <c r="K16" s="408">
        <f>'F 1'!F17</f>
        <v>1</v>
      </c>
    </row>
    <row r="17" spans="1:11" ht="15.75" thickBot="1">
      <c r="A17" s="401">
        <f>'F 4'!A16</f>
        <v>6</v>
      </c>
      <c r="B17" s="402" t="str">
        <f>'F 4'!B16</f>
        <v>2.3</v>
      </c>
      <c r="C17" s="403"/>
      <c r="D17" s="123"/>
      <c r="E17" s="403">
        <f t="shared" si="0"/>
        <v>0</v>
      </c>
      <c r="F17" s="281">
        <f>'F 4'!D16</f>
        <v>0</v>
      </c>
      <c r="G17" s="406"/>
      <c r="H17" s="98"/>
      <c r="I17" s="408">
        <f>'F 1'!E18</f>
        <v>1.0909090909090908</v>
      </c>
      <c r="J17" s="408">
        <f t="shared" si="1"/>
        <v>0</v>
      </c>
      <c r="K17" s="408">
        <f>'F 1'!F18</f>
        <v>1</v>
      </c>
    </row>
    <row r="18" spans="1:11" ht="15.75" thickBot="1">
      <c r="A18" s="401">
        <f>'F 4'!A17</f>
        <v>7</v>
      </c>
      <c r="B18" s="402" t="str">
        <f>'F 4'!B17</f>
        <v>2.4</v>
      </c>
      <c r="C18" s="403"/>
      <c r="D18" s="123"/>
      <c r="E18" s="403">
        <f t="shared" si="0"/>
        <v>0</v>
      </c>
      <c r="F18" s="281">
        <f>'F 4'!D17</f>
        <v>0</v>
      </c>
      <c r="G18" s="406"/>
      <c r="H18" s="98"/>
      <c r="I18" s="408">
        <f>'F 1'!E19</f>
        <v>1.3636363636363635</v>
      </c>
      <c r="J18" s="408">
        <f t="shared" si="1"/>
        <v>0</v>
      </c>
      <c r="K18" s="408">
        <f>'F 1'!F19</f>
        <v>0</v>
      </c>
    </row>
    <row r="19" spans="1:11" ht="15.75" thickBot="1">
      <c r="A19" s="401">
        <f>'F 4'!A18</f>
        <v>8</v>
      </c>
      <c r="B19" s="402" t="str">
        <f>'F 4'!B18</f>
        <v>2.5</v>
      </c>
      <c r="C19" s="403"/>
      <c r="D19" s="123"/>
      <c r="E19" s="403">
        <f t="shared" si="0"/>
        <v>0</v>
      </c>
      <c r="F19" s="281">
        <f>'F 4'!D18</f>
        <v>0</v>
      </c>
      <c r="G19" s="406"/>
      <c r="H19" s="98"/>
      <c r="I19" s="408">
        <f>'F 1'!E20</f>
        <v>1.3636363636363635</v>
      </c>
      <c r="J19" s="408">
        <f t="shared" si="1"/>
        <v>0</v>
      </c>
      <c r="K19" s="408">
        <f>'F 1'!F20</f>
        <v>0</v>
      </c>
    </row>
    <row r="20" spans="1:11" ht="15.75" thickBot="1">
      <c r="A20" s="401">
        <f>'F 4'!A19</f>
        <v>9</v>
      </c>
      <c r="B20" s="402" t="str">
        <f>'F 4'!B19</f>
        <v>2.6</v>
      </c>
      <c r="C20" s="403"/>
      <c r="D20" s="123"/>
      <c r="E20" s="403">
        <f t="shared" si="0"/>
        <v>0</v>
      </c>
      <c r="F20" s="281">
        <f>'F 4'!D19</f>
        <v>0</v>
      </c>
      <c r="G20" s="406"/>
      <c r="H20" s="98"/>
      <c r="I20" s="408">
        <f>'F 1'!E21</f>
        <v>0.5454545454545454</v>
      </c>
      <c r="J20" s="408">
        <f t="shared" si="1"/>
        <v>0</v>
      </c>
      <c r="K20" s="408">
        <f>'F 1'!F21</f>
        <v>0</v>
      </c>
    </row>
    <row r="21" spans="1:11" ht="15.75" thickBot="1">
      <c r="A21" s="401">
        <f>'F 4'!A20</f>
        <v>10</v>
      </c>
      <c r="B21" s="402" t="str">
        <f>'F 4'!B20</f>
        <v>3.1.1.1</v>
      </c>
      <c r="C21" s="403"/>
      <c r="D21" s="123"/>
      <c r="E21" s="403">
        <f t="shared" si="0"/>
        <v>0</v>
      </c>
      <c r="F21" s="281">
        <f>'F 4'!D20</f>
        <v>0</v>
      </c>
      <c r="G21" s="406"/>
      <c r="H21" s="98"/>
      <c r="I21" s="408">
        <f>'F 1'!E22</f>
        <v>1.9636363636363636</v>
      </c>
      <c r="J21" s="408">
        <f t="shared" si="1"/>
        <v>0</v>
      </c>
      <c r="K21" s="408">
        <f>'F 1'!F22</f>
        <v>2</v>
      </c>
    </row>
    <row r="22" spans="1:11" ht="15.75" thickBot="1">
      <c r="A22" s="401">
        <f>'F 4'!A21</f>
        <v>11</v>
      </c>
      <c r="B22" s="402" t="str">
        <f>'F 4'!B21</f>
        <v>3.1.1.2</v>
      </c>
      <c r="C22" s="403"/>
      <c r="D22" s="123"/>
      <c r="E22" s="403">
        <f t="shared" si="0"/>
        <v>0</v>
      </c>
      <c r="F22" s="281">
        <f>'F 4'!D21</f>
        <v>0</v>
      </c>
      <c r="G22" s="406"/>
      <c r="H22" s="98"/>
      <c r="I22" s="408">
        <f>'F 1'!E23</f>
        <v>0.6545454545454545</v>
      </c>
      <c r="J22" s="408">
        <f t="shared" si="1"/>
        <v>0</v>
      </c>
      <c r="K22" s="408">
        <f>'F 1'!F23</f>
        <v>4</v>
      </c>
    </row>
    <row r="23" spans="1:11" ht="15.75" thickBot="1">
      <c r="A23" s="401">
        <f>'F 4'!A22</f>
        <v>12</v>
      </c>
      <c r="B23" s="402" t="str">
        <f>'F 4'!B22</f>
        <v>3.1.1.3</v>
      </c>
      <c r="C23" s="403"/>
      <c r="D23" s="123"/>
      <c r="E23" s="403">
        <f t="shared" si="0"/>
        <v>0</v>
      </c>
      <c r="F23" s="281">
        <f>'F 4'!D22</f>
        <v>0</v>
      </c>
      <c r="G23" s="406"/>
      <c r="H23" s="98"/>
      <c r="I23" s="408">
        <f>'F 1'!E24</f>
        <v>0.6545454545454545</v>
      </c>
      <c r="J23" s="408">
        <f t="shared" si="1"/>
        <v>0</v>
      </c>
      <c r="K23" s="408">
        <f>'F 1'!F24</f>
        <v>1.49890590809628</v>
      </c>
    </row>
    <row r="24" spans="1:11" ht="15.75" thickBot="1">
      <c r="A24" s="401">
        <f>'F 4'!A23</f>
        <v>13</v>
      </c>
      <c r="B24" s="402" t="str">
        <f>'F 4'!B23</f>
        <v>3.1.1.4</v>
      </c>
      <c r="C24" s="403"/>
      <c r="D24" s="123"/>
      <c r="E24" s="403">
        <f t="shared" si="0"/>
        <v>0</v>
      </c>
      <c r="F24" s="281">
        <f>'F 4'!D23</f>
        <v>0</v>
      </c>
      <c r="G24" s="406"/>
      <c r="H24" s="98"/>
      <c r="I24" s="408">
        <f>'F 1'!E25</f>
        <v>0.6545454545454545</v>
      </c>
      <c r="J24" s="408">
        <f t="shared" si="1"/>
        <v>0</v>
      </c>
      <c r="K24" s="408">
        <f>'F 1'!F25</f>
        <v>4</v>
      </c>
    </row>
    <row r="25" spans="1:11" ht="15.75" thickBot="1">
      <c r="A25" s="401">
        <f>'F 4'!A24</f>
        <v>14</v>
      </c>
      <c r="B25" s="402" t="str">
        <f>'F 4'!B24</f>
        <v>3.1.2</v>
      </c>
      <c r="C25" s="403"/>
      <c r="D25" s="123"/>
      <c r="E25" s="403">
        <f t="shared" si="0"/>
        <v>0</v>
      </c>
      <c r="F25" s="281">
        <f>'F 4'!D24</f>
        <v>0</v>
      </c>
      <c r="G25" s="406"/>
      <c r="H25" s="98"/>
      <c r="I25" s="408">
        <f>'F 1'!E26</f>
        <v>0.6545454545454545</v>
      </c>
      <c r="J25" s="408">
        <f t="shared" si="1"/>
        <v>0</v>
      </c>
      <c r="K25" s="408">
        <f>'F 1'!F26</f>
        <v>3</v>
      </c>
    </row>
    <row r="26" spans="1:11" ht="15.75" thickBot="1">
      <c r="A26" s="401">
        <f>'F 4'!A25</f>
        <v>15</v>
      </c>
      <c r="B26" s="402" t="str">
        <f>'F 4'!B25</f>
        <v>3.1.3.1</v>
      </c>
      <c r="C26" s="403"/>
      <c r="D26" s="123"/>
      <c r="E26" s="403">
        <f t="shared" si="0"/>
        <v>0</v>
      </c>
      <c r="F26" s="281">
        <f>'F 4'!D25</f>
        <v>0</v>
      </c>
      <c r="G26" s="406"/>
      <c r="H26" s="98"/>
      <c r="I26" s="408">
        <f>'F 1'!E27</f>
        <v>0.6545454545454545</v>
      </c>
      <c r="J26" s="408">
        <f t="shared" si="1"/>
        <v>0</v>
      </c>
      <c r="K26" s="408">
        <f>'F 1'!F27</f>
        <v>0</v>
      </c>
    </row>
    <row r="27" spans="1:11" ht="15.75" thickBot="1">
      <c r="A27" s="401">
        <f>'F 4'!A26</f>
        <v>16</v>
      </c>
      <c r="B27" s="402" t="str">
        <f>'F 4'!B26</f>
        <v>3.1.3.2</v>
      </c>
      <c r="C27" s="403"/>
      <c r="D27" s="123"/>
      <c r="E27" s="403">
        <f t="shared" si="0"/>
        <v>0</v>
      </c>
      <c r="F27" s="281">
        <f>'F 4'!D26</f>
        <v>0</v>
      </c>
      <c r="G27" s="406"/>
      <c r="H27" s="98"/>
      <c r="I27" s="408">
        <f>'F 1'!E28</f>
        <v>0.32727272727272727</v>
      </c>
      <c r="J27" s="408">
        <f t="shared" si="1"/>
        <v>0</v>
      </c>
      <c r="K27" s="408">
        <f>'F 1'!F28</f>
        <v>3.8974358974358974</v>
      </c>
    </row>
    <row r="28" spans="1:11" ht="15.75" thickBot="1">
      <c r="A28" s="401">
        <f>'F 4'!A27</f>
        <v>17</v>
      </c>
      <c r="B28" s="402" t="str">
        <f>'F 4'!B27</f>
        <v>3.2.1</v>
      </c>
      <c r="C28" s="403"/>
      <c r="D28" s="123"/>
      <c r="E28" s="403">
        <f t="shared" si="0"/>
        <v>0</v>
      </c>
      <c r="F28" s="281">
        <f>'F 4'!D27</f>
        <v>0</v>
      </c>
      <c r="G28" s="406"/>
      <c r="H28" s="98"/>
      <c r="I28" s="408">
        <f>'F 1'!E29</f>
        <v>0.6545454545454545</v>
      </c>
      <c r="J28" s="408">
        <f t="shared" si="1"/>
        <v>0</v>
      </c>
      <c r="K28" s="408">
        <f>'F 1'!F29</f>
        <v>3</v>
      </c>
    </row>
    <row r="29" spans="1:11" ht="15.75" thickBot="1">
      <c r="A29" s="401">
        <f>'F 4'!A28</f>
        <v>18</v>
      </c>
      <c r="B29" s="402" t="str">
        <f>'F 4'!B28</f>
        <v>3.2.2</v>
      </c>
      <c r="C29" s="403"/>
      <c r="D29" s="123"/>
      <c r="E29" s="403">
        <f t="shared" si="0"/>
        <v>0</v>
      </c>
      <c r="F29" s="281">
        <f>'F 4'!D28</f>
        <v>0</v>
      </c>
      <c r="G29" s="406"/>
      <c r="H29" s="98"/>
      <c r="I29" s="408">
        <f>'F 1'!E30</f>
        <v>1.309090909090909</v>
      </c>
      <c r="J29" s="408">
        <f t="shared" si="1"/>
        <v>0</v>
      </c>
      <c r="K29" s="408">
        <f>'F 1'!F30</f>
        <v>3.6</v>
      </c>
    </row>
    <row r="30" spans="1:11" ht="15.75" thickBot="1">
      <c r="A30" s="401">
        <f>'F 4'!A29</f>
        <v>19</v>
      </c>
      <c r="B30" s="402" t="str">
        <f>'F 4'!B29</f>
        <v>3.3</v>
      </c>
      <c r="C30" s="403"/>
      <c r="D30" s="123"/>
      <c r="E30" s="403">
        <f t="shared" si="0"/>
        <v>0</v>
      </c>
      <c r="F30" s="281">
        <f>'F 4'!D29</f>
        <v>0</v>
      </c>
      <c r="G30" s="406"/>
      <c r="H30" s="98"/>
      <c r="I30" s="408">
        <f>'F 1'!E31</f>
        <v>1.309090909090909</v>
      </c>
      <c r="J30" s="408">
        <f t="shared" si="1"/>
        <v>0</v>
      </c>
      <c r="K30" s="408">
        <f>'F 1'!F31</f>
        <v>3</v>
      </c>
    </row>
    <row r="31" spans="1:11" ht="15.75" thickBot="1">
      <c r="A31" s="401">
        <f>'F 4'!A30</f>
        <v>20</v>
      </c>
      <c r="B31" s="402" t="str">
        <f>'F 4'!B30</f>
        <v>3.4.1.1</v>
      </c>
      <c r="C31" s="403"/>
      <c r="D31" s="123"/>
      <c r="E31" s="403">
        <f t="shared" si="0"/>
        <v>0</v>
      </c>
      <c r="F31" s="281">
        <f>'F 4'!D30</f>
        <v>0</v>
      </c>
      <c r="G31" s="406"/>
      <c r="H31" s="98"/>
      <c r="I31" s="408">
        <f>'F 1'!E32</f>
        <v>0.6545454545454545</v>
      </c>
      <c r="J31" s="408">
        <f t="shared" si="1"/>
        <v>0</v>
      </c>
      <c r="K31" s="408">
        <f>'F 1'!F32</f>
        <v>2</v>
      </c>
    </row>
    <row r="32" spans="1:11" ht="15.75" thickBot="1">
      <c r="A32" s="401">
        <f>'F 4'!A31</f>
        <v>21</v>
      </c>
      <c r="B32" s="402" t="str">
        <f>'F 4'!B31</f>
        <v>3.4.1.2</v>
      </c>
      <c r="C32" s="403"/>
      <c r="D32" s="123"/>
      <c r="E32" s="403">
        <f t="shared" si="0"/>
        <v>0</v>
      </c>
      <c r="F32" s="281">
        <f>'F 4'!D31</f>
        <v>0</v>
      </c>
      <c r="G32" s="406"/>
      <c r="H32" s="98"/>
      <c r="I32" s="408">
        <f>'F 1'!E33</f>
        <v>1.309090909090909</v>
      </c>
      <c r="J32" s="408">
        <f t="shared" si="1"/>
        <v>0</v>
      </c>
      <c r="K32" s="408">
        <f>'F 1'!F33</f>
        <v>2</v>
      </c>
    </row>
    <row r="33" spans="1:11" ht="15.75" thickBot="1">
      <c r="A33" s="401">
        <f>'F 4'!A32</f>
        <v>22</v>
      </c>
      <c r="B33" s="402" t="str">
        <f>'F 4'!B32</f>
        <v>3.4.1.3</v>
      </c>
      <c r="C33" s="403"/>
      <c r="D33" s="123"/>
      <c r="E33" s="403">
        <f t="shared" si="0"/>
        <v>0</v>
      </c>
      <c r="F33" s="281">
        <f>'F 4'!D32</f>
        <v>0</v>
      </c>
      <c r="G33" s="406"/>
      <c r="H33" s="98"/>
      <c r="I33" s="408">
        <f>'F 1'!E34</f>
        <v>1.309090909090909</v>
      </c>
      <c r="J33" s="408">
        <f t="shared" si="1"/>
        <v>0</v>
      </c>
      <c r="K33" s="408">
        <f>'F 1'!F34</f>
        <v>1</v>
      </c>
    </row>
    <row r="34" spans="1:11" ht="15.75" thickBot="1">
      <c r="A34" s="401">
        <f>'F 4'!A33</f>
        <v>23</v>
      </c>
      <c r="B34" s="402" t="str">
        <f>'F 4'!B33</f>
        <v>3.4.2</v>
      </c>
      <c r="C34" s="403"/>
      <c r="D34" s="123"/>
      <c r="E34" s="403">
        <f t="shared" si="0"/>
        <v>0</v>
      </c>
      <c r="F34" s="281">
        <f>'F 4'!D33</f>
        <v>0</v>
      </c>
      <c r="G34" s="406"/>
      <c r="H34" s="98"/>
      <c r="I34" s="408">
        <f>'F 1'!E35</f>
        <v>1.309090909090909</v>
      </c>
      <c r="J34" s="408">
        <f t="shared" si="1"/>
        <v>0</v>
      </c>
      <c r="K34" s="408">
        <f>'F 1'!F35</f>
        <v>2</v>
      </c>
    </row>
    <row r="35" spans="1:11" ht="15.75" thickBot="1">
      <c r="A35" s="401">
        <f>'F 4'!A34</f>
        <v>24</v>
      </c>
      <c r="B35" s="402" t="str">
        <f>'F 4'!B34</f>
        <v>3.4.3</v>
      </c>
      <c r="C35" s="403"/>
      <c r="D35" s="123"/>
      <c r="E35" s="403">
        <f t="shared" si="0"/>
        <v>0</v>
      </c>
      <c r="F35" s="281">
        <f>'F 4'!D34</f>
        <v>0</v>
      </c>
      <c r="G35" s="406"/>
      <c r="H35" s="98"/>
      <c r="I35" s="408">
        <f>'F 1'!E36</f>
        <v>1.309090909090909</v>
      </c>
      <c r="J35" s="408">
        <f t="shared" si="1"/>
        <v>0</v>
      </c>
      <c r="K35" s="408">
        <f>'F 1'!F36</f>
        <v>0</v>
      </c>
    </row>
    <row r="36" spans="1:11" ht="15.75" thickBot="1">
      <c r="A36" s="401">
        <f>'F 4'!A35</f>
        <v>25</v>
      </c>
      <c r="B36" s="402" t="str">
        <f>'F 4'!B35</f>
        <v>3.4.4</v>
      </c>
      <c r="C36" s="403"/>
      <c r="D36" s="123"/>
      <c r="E36" s="403">
        <f t="shared" si="0"/>
        <v>0</v>
      </c>
      <c r="F36" s="281">
        <f>'F 4'!D35</f>
        <v>0</v>
      </c>
      <c r="G36" s="406"/>
      <c r="H36" s="98"/>
      <c r="I36" s="408">
        <f>'F 1'!E37</f>
        <v>1.309090909090909</v>
      </c>
      <c r="J36" s="408">
        <f t="shared" si="1"/>
        <v>0</v>
      </c>
      <c r="K36" s="408">
        <f>'F 1'!F37</f>
        <v>0</v>
      </c>
    </row>
    <row r="37" spans="1:11" ht="15.75" thickBot="1">
      <c r="A37" s="401">
        <f>'F 4'!A36</f>
        <v>26</v>
      </c>
      <c r="B37" s="402" t="str">
        <f>'F 4'!B36</f>
        <v>3.4.5</v>
      </c>
      <c r="C37" s="403"/>
      <c r="D37" s="123"/>
      <c r="E37" s="403">
        <f t="shared" si="0"/>
        <v>0</v>
      </c>
      <c r="F37" s="281">
        <f>'F 4'!D36</f>
        <v>0</v>
      </c>
      <c r="G37" s="406"/>
      <c r="H37" s="98"/>
      <c r="I37" s="408">
        <f>'F 1'!E38</f>
        <v>1.309090909090909</v>
      </c>
      <c r="J37" s="408">
        <f t="shared" si="1"/>
        <v>0</v>
      </c>
      <c r="K37" s="408">
        <f>'F 1'!F38</f>
        <v>0</v>
      </c>
    </row>
    <row r="38" spans="1:11" ht="15.75" thickBot="1">
      <c r="A38" s="401">
        <f>'F 4'!A37</f>
        <v>27</v>
      </c>
      <c r="B38" s="402" t="str">
        <f>'F 4'!B37</f>
        <v>3.5</v>
      </c>
      <c r="C38" s="403"/>
      <c r="D38" s="123"/>
      <c r="E38" s="403">
        <f t="shared" si="0"/>
        <v>0</v>
      </c>
      <c r="F38" s="281">
        <f>'F 4'!D37</f>
        <v>0</v>
      </c>
      <c r="G38" s="406"/>
      <c r="H38" s="98"/>
      <c r="I38" s="408">
        <f>'F 1'!E39</f>
        <v>0.6545454545454545</v>
      </c>
      <c r="J38" s="408">
        <f t="shared" si="1"/>
        <v>0</v>
      </c>
      <c r="K38" s="408">
        <f>'F 1'!F39</f>
        <v>3</v>
      </c>
    </row>
    <row r="39" spans="1:11" ht="15.75" thickBot="1">
      <c r="A39" s="401">
        <f>'F 4'!A38</f>
        <v>28</v>
      </c>
      <c r="B39" s="402" t="str">
        <f>'F 4'!B38</f>
        <v>4.1</v>
      </c>
      <c r="C39" s="403"/>
      <c r="D39" s="123"/>
      <c r="E39" s="403">
        <f t="shared" si="0"/>
        <v>0</v>
      </c>
      <c r="F39" s="281">
        <f>'F 4'!D38</f>
        <v>0</v>
      </c>
      <c r="G39" s="406"/>
      <c r="H39" s="98"/>
      <c r="I39" s="408">
        <f>'F 1'!E40</f>
        <v>0.7419354838709677</v>
      </c>
      <c r="J39" s="408">
        <f t="shared" si="1"/>
        <v>0</v>
      </c>
      <c r="K39" s="408">
        <f>'F 1'!F40</f>
        <v>2</v>
      </c>
    </row>
    <row r="40" spans="1:11" ht="15.75" thickBot="1">
      <c r="A40" s="401">
        <f>'F 4'!A39</f>
        <v>29</v>
      </c>
      <c r="B40" s="402" t="str">
        <f>'F 4'!B39</f>
        <v>4.2.1</v>
      </c>
      <c r="C40" s="403"/>
      <c r="D40" s="123"/>
      <c r="E40" s="403">
        <f t="shared" si="0"/>
        <v>0</v>
      </c>
      <c r="F40" s="281">
        <f>'F 4'!D39</f>
        <v>0</v>
      </c>
      <c r="G40" s="406"/>
      <c r="H40" s="98"/>
      <c r="I40" s="408">
        <f>'F 1'!E41</f>
        <v>0.7419354838709677</v>
      </c>
      <c r="J40" s="408">
        <f t="shared" si="1"/>
        <v>0</v>
      </c>
      <c r="K40" s="408">
        <f>'F 1'!F41</f>
        <v>3</v>
      </c>
    </row>
    <row r="41" spans="1:11" ht="15.75" thickBot="1">
      <c r="A41" s="401">
        <f>'F 4'!A40</f>
        <v>30</v>
      </c>
      <c r="B41" s="402" t="str">
        <f>'F 4'!B40</f>
        <v>4.2.2</v>
      </c>
      <c r="C41" s="403"/>
      <c r="D41" s="123"/>
      <c r="E41" s="403">
        <f t="shared" si="0"/>
        <v>0</v>
      </c>
      <c r="F41" s="281">
        <f>'F 4'!D40</f>
        <v>0</v>
      </c>
      <c r="G41" s="406"/>
      <c r="H41" s="98"/>
      <c r="I41" s="408">
        <f>'F 1'!E42</f>
        <v>1.4838709677419355</v>
      </c>
      <c r="J41" s="408">
        <f t="shared" si="1"/>
        <v>0</v>
      </c>
      <c r="K41" s="408">
        <f>'F 1'!F42</f>
        <v>2</v>
      </c>
    </row>
    <row r="42" spans="1:11" ht="15.75" thickBot="1">
      <c r="A42" s="401">
        <f>'F 4'!A41</f>
        <v>31</v>
      </c>
      <c r="B42" s="402" t="str">
        <f>'F 4'!B41</f>
        <v>4.3.1.1</v>
      </c>
      <c r="C42" s="403"/>
      <c r="D42" s="123"/>
      <c r="E42" s="403">
        <f t="shared" si="0"/>
        <v>0</v>
      </c>
      <c r="F42" s="281">
        <f>'F 4'!D41</f>
        <v>0</v>
      </c>
      <c r="G42" s="406"/>
      <c r="H42" s="98"/>
      <c r="I42" s="408">
        <f>'F 1'!E43</f>
        <v>1.4838709677419355</v>
      </c>
      <c r="J42" s="408">
        <f t="shared" si="1"/>
        <v>0</v>
      </c>
      <c r="K42" s="408">
        <f>'F 1'!F43</f>
        <v>2.7916666666666665</v>
      </c>
    </row>
    <row r="43" spans="1:11" ht="15.75" thickBot="1">
      <c r="A43" s="401">
        <f>'F 4'!A42</f>
        <v>32</v>
      </c>
      <c r="B43" s="402" t="str">
        <f>'F 4'!B42</f>
        <v>4.3.1.2</v>
      </c>
      <c r="C43" s="403"/>
      <c r="D43" s="123"/>
      <c r="E43" s="403">
        <f t="shared" si="0"/>
        <v>0</v>
      </c>
      <c r="F43" s="281">
        <f>'F 4'!D42</f>
        <v>0</v>
      </c>
      <c r="G43" s="406"/>
      <c r="H43" s="98"/>
      <c r="I43" s="408">
        <f>'F 1'!E44</f>
        <v>0.7419354838709677</v>
      </c>
      <c r="J43" s="408">
        <f t="shared" si="1"/>
        <v>0</v>
      </c>
      <c r="K43" s="408">
        <f>'F 1'!F44</f>
        <v>0.3333333333333333</v>
      </c>
    </row>
    <row r="44" spans="1:11" ht="15.75" thickBot="1">
      <c r="A44" s="401">
        <f>'F 4'!A43</f>
        <v>33</v>
      </c>
      <c r="B44" s="402" t="str">
        <f>'F 4'!B43</f>
        <v>4.3.1.3</v>
      </c>
      <c r="C44" s="403"/>
      <c r="D44" s="123"/>
      <c r="E44" s="403">
        <f t="shared" si="0"/>
        <v>0</v>
      </c>
      <c r="F44" s="281">
        <f>'F 4'!D43</f>
        <v>0</v>
      </c>
      <c r="G44" s="406"/>
      <c r="H44" s="98"/>
      <c r="I44" s="408">
        <f>'F 1'!E45</f>
        <v>1.4838709677419355</v>
      </c>
      <c r="J44" s="408">
        <f t="shared" si="1"/>
        <v>0</v>
      </c>
      <c r="K44" s="408">
        <f>'F 1'!F45</f>
        <v>1.7647058823529411</v>
      </c>
    </row>
    <row r="45" spans="1:11" ht="15.75" thickBot="1">
      <c r="A45" s="401">
        <f>'F 4'!A44</f>
        <v>34</v>
      </c>
      <c r="B45" s="402" t="str">
        <f>'F 4'!B44</f>
        <v>4.3.2.1</v>
      </c>
      <c r="C45" s="403"/>
      <c r="D45" s="123"/>
      <c r="E45" s="403">
        <f t="shared" si="0"/>
        <v>0</v>
      </c>
      <c r="F45" s="281">
        <f>'F 4'!D44</f>
        <v>0</v>
      </c>
      <c r="G45" s="406"/>
      <c r="H45" s="98"/>
      <c r="I45" s="408">
        <f>'F 1'!E46</f>
        <v>0.7419354838709677</v>
      </c>
      <c r="J45" s="408">
        <f t="shared" si="1"/>
        <v>0</v>
      </c>
      <c r="K45" s="408">
        <f>'F 1'!F46</f>
        <v>2.8125</v>
      </c>
    </row>
    <row r="46" spans="1:11" ht="15.75" thickBot="1">
      <c r="A46" s="401">
        <f>'F 4'!A45</f>
        <v>35</v>
      </c>
      <c r="B46" s="402" t="str">
        <f>'F 4'!B45</f>
        <v>4.3.2.2</v>
      </c>
      <c r="C46" s="403"/>
      <c r="D46" s="123"/>
      <c r="E46" s="403">
        <f t="shared" si="0"/>
        <v>0</v>
      </c>
      <c r="F46" s="281">
        <f>'F 4'!D45</f>
        <v>0</v>
      </c>
      <c r="G46" s="406"/>
      <c r="H46" s="98"/>
      <c r="I46" s="408">
        <f>'F 1'!E47</f>
        <v>0.7419354838709677</v>
      </c>
      <c r="J46" s="408">
        <f t="shared" si="1"/>
        <v>0</v>
      </c>
      <c r="K46" s="408">
        <f>'F 1'!F47</f>
        <v>4</v>
      </c>
    </row>
    <row r="47" spans="1:11" ht="15.75" thickBot="1">
      <c r="A47" s="401">
        <f>'F 4'!A46</f>
        <v>36</v>
      </c>
      <c r="B47" s="402" t="str">
        <f>'F 4'!B46</f>
        <v>4.3.3</v>
      </c>
      <c r="C47" s="403"/>
      <c r="D47" s="123"/>
      <c r="E47" s="403">
        <f t="shared" si="0"/>
        <v>0</v>
      </c>
      <c r="F47" s="281">
        <f>'F 4'!D46</f>
        <v>0</v>
      </c>
      <c r="G47" s="406"/>
      <c r="H47" s="98"/>
      <c r="I47" s="408">
        <f>'F 1'!E48</f>
        <v>0.7419354838709677</v>
      </c>
      <c r="J47" s="408">
        <f t="shared" si="1"/>
        <v>0</v>
      </c>
      <c r="K47" s="408">
        <f>'F 1'!F48</f>
        <v>4</v>
      </c>
    </row>
    <row r="48" spans="1:11" ht="26.25" thickBot="1">
      <c r="A48" s="401">
        <f>'F 4'!A47</f>
        <v>37</v>
      </c>
      <c r="B48" s="402" t="str">
        <f>'F 4'!B47</f>
        <v>4.3.4 &amp; 4.3.5</v>
      </c>
      <c r="C48" s="403"/>
      <c r="D48" s="123"/>
      <c r="E48" s="403">
        <f t="shared" si="0"/>
        <v>0</v>
      </c>
      <c r="F48" s="281">
        <f>'F 4'!D47</f>
        <v>0</v>
      </c>
      <c r="G48" s="406"/>
      <c r="H48" s="98"/>
      <c r="I48" s="408">
        <f>'F 1'!E49</f>
        <v>1.4838709677419355</v>
      </c>
      <c r="J48" s="408">
        <f t="shared" si="1"/>
        <v>0</v>
      </c>
      <c r="K48" s="408">
        <f>'F 1'!F49</f>
        <v>2</v>
      </c>
    </row>
    <row r="49" spans="1:11" ht="26.25" thickBot="1">
      <c r="A49" s="401">
        <f>'F 4'!A48</f>
        <v>38</v>
      </c>
      <c r="B49" s="402" t="str">
        <f>'F 4'!B48</f>
        <v>4.3.4 &amp; 4.3.5</v>
      </c>
      <c r="C49" s="403"/>
      <c r="D49" s="123"/>
      <c r="E49" s="403">
        <f t="shared" si="0"/>
        <v>0</v>
      </c>
      <c r="F49" s="281">
        <f>'F 4'!D48</f>
        <v>0</v>
      </c>
      <c r="G49" s="406"/>
      <c r="H49" s="98"/>
      <c r="I49" s="408">
        <f>'F 1'!E50</f>
        <v>0.7419354838709677</v>
      </c>
      <c r="J49" s="408">
        <f t="shared" si="1"/>
        <v>0</v>
      </c>
      <c r="K49" s="408">
        <f>'F 1'!F50</f>
        <v>2</v>
      </c>
    </row>
    <row r="50" spans="1:11" ht="15.75" thickBot="1">
      <c r="A50" s="401">
        <f>'F 4'!A49</f>
        <v>39</v>
      </c>
      <c r="B50" s="402" t="str">
        <f>'F 4'!B49</f>
        <v>4.4.1</v>
      </c>
      <c r="C50" s="403"/>
      <c r="D50" s="123"/>
      <c r="E50" s="403">
        <f t="shared" si="0"/>
        <v>0</v>
      </c>
      <c r="F50" s="281">
        <f>'F 4'!D49</f>
        <v>0</v>
      </c>
      <c r="G50" s="406"/>
      <c r="H50" s="98"/>
      <c r="I50" s="408">
        <f>'F 1'!E51</f>
        <v>0.7419354838709677</v>
      </c>
      <c r="J50" s="408">
        <f t="shared" si="1"/>
        <v>0</v>
      </c>
      <c r="K50" s="408">
        <f>'F 1'!F51</f>
        <v>1.666666666666667</v>
      </c>
    </row>
    <row r="51" spans="1:11" ht="15.75" thickBot="1">
      <c r="A51" s="401">
        <f>'F 4'!A50</f>
        <v>40</v>
      </c>
      <c r="B51" s="402" t="str">
        <f>'F 4'!B50</f>
        <v>4.4.2.1</v>
      </c>
      <c r="C51" s="403"/>
      <c r="D51" s="123"/>
      <c r="E51" s="403">
        <f t="shared" si="0"/>
        <v>0</v>
      </c>
      <c r="F51" s="281">
        <f>'F 4'!D50</f>
        <v>0</v>
      </c>
      <c r="G51" s="406"/>
      <c r="H51" s="98"/>
      <c r="I51" s="408">
        <f>'F 1'!E52</f>
        <v>1.4838709677419355</v>
      </c>
      <c r="J51" s="408">
        <f t="shared" si="1"/>
        <v>0</v>
      </c>
      <c r="K51" s="408">
        <f>'F 1'!F52</f>
        <v>0</v>
      </c>
    </row>
    <row r="52" spans="1:11" ht="15.75" thickBot="1">
      <c r="A52" s="401">
        <f>'F 4'!A51</f>
        <v>41</v>
      </c>
      <c r="B52" s="402" t="str">
        <f>'F 4'!B51</f>
        <v>4.4.2.2</v>
      </c>
      <c r="C52" s="403"/>
      <c r="D52" s="123"/>
      <c r="E52" s="403">
        <f t="shared" si="0"/>
        <v>0</v>
      </c>
      <c r="F52" s="281">
        <f>'F 4'!D51</f>
        <v>0</v>
      </c>
      <c r="G52" s="406"/>
      <c r="H52" s="98"/>
      <c r="I52" s="408">
        <f>'F 1'!E53</f>
        <v>0.7419354838709677</v>
      </c>
      <c r="J52" s="408">
        <f t="shared" si="1"/>
        <v>0</v>
      </c>
      <c r="K52" s="408">
        <f>'F 1'!F53</f>
        <v>1</v>
      </c>
    </row>
    <row r="53" spans="1:11" ht="15.75" thickBot="1">
      <c r="A53" s="401">
        <f>'F 4'!A52</f>
        <v>42</v>
      </c>
      <c r="B53" s="402" t="str">
        <f>'F 4'!B52</f>
        <v>4.5.1</v>
      </c>
      <c r="C53" s="403"/>
      <c r="D53" s="123"/>
      <c r="E53" s="403">
        <f t="shared" si="0"/>
        <v>0</v>
      </c>
      <c r="F53" s="281">
        <f>'F 4'!D52</f>
        <v>0</v>
      </c>
      <c r="G53" s="406"/>
      <c r="H53" s="98"/>
      <c r="I53" s="408">
        <f>'F 1'!E54</f>
        <v>0.7419354838709677</v>
      </c>
      <c r="J53" s="408">
        <f t="shared" si="1"/>
        <v>0</v>
      </c>
      <c r="K53" s="408">
        <f>'F 1'!F54</f>
        <v>2</v>
      </c>
    </row>
    <row r="54" spans="1:11" ht="15.75" thickBot="1">
      <c r="A54" s="401">
        <f>'F 4'!A53</f>
        <v>43</v>
      </c>
      <c r="B54" s="402" t="str">
        <f>'F 4'!B53</f>
        <v>4.5.2</v>
      </c>
      <c r="C54" s="403"/>
      <c r="D54" s="123"/>
      <c r="E54" s="403">
        <f t="shared" si="0"/>
        <v>0</v>
      </c>
      <c r="F54" s="281">
        <f>'F 4'!D53</f>
        <v>0</v>
      </c>
      <c r="G54" s="406"/>
      <c r="H54" s="98"/>
      <c r="I54" s="408">
        <f>'F 1'!E55</f>
        <v>1.4838709677419355</v>
      </c>
      <c r="J54" s="408">
        <f t="shared" si="1"/>
        <v>0</v>
      </c>
      <c r="K54" s="408">
        <f>'F 1'!F55</f>
        <v>4</v>
      </c>
    </row>
    <row r="55" spans="1:11" ht="15.75" thickBot="1">
      <c r="A55" s="401">
        <f>'F 4'!A54</f>
        <v>44</v>
      </c>
      <c r="B55" s="402" t="str">
        <f>'F 4'!B54</f>
        <v>4.5.3</v>
      </c>
      <c r="C55" s="403"/>
      <c r="D55" s="123"/>
      <c r="E55" s="403">
        <f t="shared" si="0"/>
        <v>0</v>
      </c>
      <c r="F55" s="281">
        <f>'F 4'!D54</f>
        <v>0</v>
      </c>
      <c r="G55" s="406"/>
      <c r="H55" s="98"/>
      <c r="I55" s="408">
        <f>'F 1'!E56</f>
        <v>1.4838709677419355</v>
      </c>
      <c r="J55" s="408">
        <f t="shared" si="1"/>
        <v>0</v>
      </c>
      <c r="K55" s="408">
        <f>'F 1'!F56</f>
        <v>1.65625</v>
      </c>
    </row>
    <row r="56" spans="1:11" ht="15.75" thickBot="1">
      <c r="A56" s="401">
        <f>'F 4'!A55</f>
        <v>45</v>
      </c>
      <c r="B56" s="402" t="str">
        <f>'F 4'!B55</f>
        <v>4.5.4</v>
      </c>
      <c r="C56" s="403"/>
      <c r="D56" s="123"/>
      <c r="E56" s="403">
        <f t="shared" si="0"/>
        <v>0</v>
      </c>
      <c r="F56" s="281">
        <f>'F 4'!D55</f>
        <v>0</v>
      </c>
      <c r="G56" s="406"/>
      <c r="H56" s="98"/>
      <c r="I56" s="408">
        <f>'F 1'!E57</f>
        <v>0.7419354838709677</v>
      </c>
      <c r="J56" s="408">
        <f t="shared" si="1"/>
        <v>0</v>
      </c>
      <c r="K56" s="408">
        <f>'F 1'!F57</f>
        <v>0</v>
      </c>
    </row>
    <row r="57" spans="1:11" ht="15.75" thickBot="1">
      <c r="A57" s="401">
        <f>'F 4'!A56</f>
        <v>46</v>
      </c>
      <c r="B57" s="402" t="str">
        <f>'F 4'!B56</f>
        <v>4.5.5</v>
      </c>
      <c r="C57" s="403"/>
      <c r="D57" s="123"/>
      <c r="E57" s="403">
        <f t="shared" si="0"/>
        <v>0</v>
      </c>
      <c r="F57" s="281">
        <f>'F 4'!D56</f>
        <v>0</v>
      </c>
      <c r="G57" s="406"/>
      <c r="H57" s="98"/>
      <c r="I57" s="408">
        <f>'F 1'!E58</f>
        <v>0.7419354838709677</v>
      </c>
      <c r="J57" s="408">
        <f t="shared" si="1"/>
        <v>0</v>
      </c>
      <c r="K57" s="408">
        <f>'F 1'!F58</f>
        <v>2.5</v>
      </c>
    </row>
    <row r="58" spans="1:11" ht="15.75" thickBot="1">
      <c r="A58" s="401">
        <f>'F 4'!A57</f>
        <v>47</v>
      </c>
      <c r="B58" s="402" t="str">
        <f>'F 4'!B57</f>
        <v>4.6.1.1</v>
      </c>
      <c r="C58" s="403"/>
      <c r="D58" s="123"/>
      <c r="E58" s="403">
        <f t="shared" si="0"/>
        <v>0</v>
      </c>
      <c r="F58" s="281">
        <f>'F 4'!D57</f>
        <v>0</v>
      </c>
      <c r="G58" s="406"/>
      <c r="H58" s="98"/>
      <c r="I58" s="408">
        <f>'F 1'!E59</f>
        <v>0.7419354838709677</v>
      </c>
      <c r="J58" s="408">
        <f t="shared" si="1"/>
        <v>0</v>
      </c>
      <c r="K58" s="408">
        <f>'F 1'!F59</f>
        <v>1.5</v>
      </c>
    </row>
    <row r="59" spans="1:11" ht="15.75" thickBot="1">
      <c r="A59" s="401">
        <f>'F 4'!A58</f>
        <v>48</v>
      </c>
      <c r="B59" s="402" t="str">
        <f>'F 4'!B58</f>
        <v>4.6.1.2</v>
      </c>
      <c r="C59" s="403"/>
      <c r="D59" s="123"/>
      <c r="E59" s="403">
        <f t="shared" si="0"/>
        <v>0</v>
      </c>
      <c r="F59" s="281">
        <f>'F 4'!D58</f>
        <v>0</v>
      </c>
      <c r="G59" s="406"/>
      <c r="H59" s="98"/>
      <c r="I59" s="408">
        <f>'F 1'!E60</f>
        <v>1.4838709677419355</v>
      </c>
      <c r="J59" s="408">
        <f t="shared" si="1"/>
        <v>0</v>
      </c>
      <c r="K59" s="408">
        <f>'F 1'!F60</f>
        <v>4</v>
      </c>
    </row>
    <row r="60" spans="1:11" ht="15.75" thickBot="1">
      <c r="A60" s="401">
        <f>'F 4'!A59</f>
        <v>49</v>
      </c>
      <c r="B60" s="402" t="str">
        <f>'F 4'!B59</f>
        <v>4.6.1.3</v>
      </c>
      <c r="C60" s="403"/>
      <c r="D60" s="123"/>
      <c r="E60" s="403">
        <f t="shared" si="0"/>
        <v>0</v>
      </c>
      <c r="F60" s="281">
        <f>'F 4'!D59</f>
        <v>0</v>
      </c>
      <c r="G60" s="406"/>
      <c r="H60" s="98"/>
      <c r="I60" s="408">
        <f>'F 1'!E61</f>
        <v>0.7419354838709677</v>
      </c>
      <c r="J60" s="408">
        <f t="shared" si="1"/>
        <v>0</v>
      </c>
      <c r="K60" s="408">
        <f>'F 1'!F61</f>
        <v>4</v>
      </c>
    </row>
    <row r="61" spans="1:11" ht="15.75" thickBot="1">
      <c r="A61" s="401">
        <f>'F 4'!A60</f>
        <v>50</v>
      </c>
      <c r="B61" s="402" t="str">
        <f>'F 4'!B60</f>
        <v>4.6.2</v>
      </c>
      <c r="C61" s="403"/>
      <c r="D61" s="123"/>
      <c r="E61" s="403">
        <f t="shared" si="0"/>
        <v>0</v>
      </c>
      <c r="F61" s="281">
        <f>'F 4'!D60</f>
        <v>0</v>
      </c>
      <c r="G61" s="406"/>
      <c r="H61" s="98"/>
      <c r="I61" s="408">
        <f>'F 1'!E62</f>
        <v>0.7419354838709677</v>
      </c>
      <c r="J61" s="408">
        <f t="shared" si="1"/>
        <v>0</v>
      </c>
      <c r="K61" s="408">
        <f>'F 1'!F62</f>
        <v>1</v>
      </c>
    </row>
    <row r="62" spans="1:11" ht="15.75" thickBot="1">
      <c r="A62" s="401">
        <f>'F 4'!A61</f>
        <v>51</v>
      </c>
      <c r="B62" s="402" t="str">
        <f>'F 4'!B61</f>
        <v>5.1.1.1</v>
      </c>
      <c r="C62" s="403"/>
      <c r="D62" s="123"/>
      <c r="E62" s="403">
        <f t="shared" si="0"/>
        <v>0</v>
      </c>
      <c r="F62" s="281">
        <f>'F 4'!D61</f>
        <v>0</v>
      </c>
      <c r="G62" s="406"/>
      <c r="H62" s="98"/>
      <c r="I62" s="408">
        <f>'F 1'!E63</f>
        <v>0.5128205128205128</v>
      </c>
      <c r="J62" s="408">
        <f t="shared" si="1"/>
        <v>0</v>
      </c>
      <c r="K62" s="408">
        <f>'F 1'!F63</f>
        <v>2</v>
      </c>
    </row>
    <row r="63" spans="1:11" ht="15.75" thickBot="1">
      <c r="A63" s="401">
        <f>'F 4'!A62</f>
        <v>52</v>
      </c>
      <c r="B63" s="402" t="str">
        <f>'F 4'!B62</f>
        <v>5.1.1.2</v>
      </c>
      <c r="C63" s="403"/>
      <c r="D63" s="123"/>
      <c r="E63" s="403">
        <f t="shared" si="0"/>
        <v>0</v>
      </c>
      <c r="F63" s="281">
        <f>'F 4'!D62</f>
        <v>0</v>
      </c>
      <c r="G63" s="406"/>
      <c r="H63" s="98"/>
      <c r="I63" s="408">
        <f>'F 1'!E64</f>
        <v>0.5128205128205128</v>
      </c>
      <c r="J63" s="408">
        <f t="shared" si="1"/>
        <v>0</v>
      </c>
      <c r="K63" s="408">
        <f>'F 1'!F64</f>
        <v>1</v>
      </c>
    </row>
    <row r="64" spans="1:11" ht="15.75" thickBot="1">
      <c r="A64" s="401">
        <f>'F 4'!A63</f>
        <v>53</v>
      </c>
      <c r="B64" s="402" t="str">
        <f>'F 4'!B63</f>
        <v>5.1.2.1.1</v>
      </c>
      <c r="C64" s="403"/>
      <c r="D64" s="123"/>
      <c r="E64" s="403">
        <f t="shared" si="0"/>
        <v>0</v>
      </c>
      <c r="F64" s="281">
        <f>'F 4'!D63</f>
        <v>0</v>
      </c>
      <c r="G64" s="406"/>
      <c r="H64" s="98"/>
      <c r="I64" s="408">
        <f>'F 1'!E65</f>
        <v>1.0256410256410255</v>
      </c>
      <c r="J64" s="408">
        <f t="shared" si="1"/>
        <v>0</v>
      </c>
      <c r="K64" s="408">
        <f>'F 1'!F65</f>
        <v>3</v>
      </c>
    </row>
    <row r="65" spans="1:11" ht="15.75" thickBot="1">
      <c r="A65" s="401">
        <f>'F 4'!A64</f>
        <v>54</v>
      </c>
      <c r="B65" s="402" t="str">
        <f>'F 4'!B64</f>
        <v>5.1.2.1.2</v>
      </c>
      <c r="C65" s="403"/>
      <c r="D65" s="123"/>
      <c r="E65" s="403">
        <f t="shared" si="0"/>
        <v>0</v>
      </c>
      <c r="F65" s="281">
        <f>'F 4'!D64</f>
        <v>0</v>
      </c>
      <c r="G65" s="406"/>
      <c r="H65" s="98"/>
      <c r="I65" s="408">
        <f>'F 1'!E66</f>
        <v>1.5384615384615385</v>
      </c>
      <c r="J65" s="408">
        <f t="shared" si="1"/>
        <v>0</v>
      </c>
      <c r="K65" s="408">
        <f>'F 1'!F66</f>
        <v>4</v>
      </c>
    </row>
    <row r="66" spans="1:11" ht="15.75" thickBot="1">
      <c r="A66" s="401">
        <f>'F 4'!A65</f>
        <v>55</v>
      </c>
      <c r="B66" s="402" t="str">
        <f>'F 4'!B65</f>
        <v>5.1.2.1.3</v>
      </c>
      <c r="C66" s="403"/>
      <c r="D66" s="123"/>
      <c r="E66" s="403">
        <f t="shared" si="0"/>
        <v>0</v>
      </c>
      <c r="F66" s="281">
        <f>'F 4'!D65</f>
        <v>0</v>
      </c>
      <c r="G66" s="406"/>
      <c r="H66" s="98"/>
      <c r="I66" s="408">
        <f>'F 1'!E67</f>
        <v>0.5128205128205128</v>
      </c>
      <c r="J66" s="408">
        <f t="shared" si="1"/>
        <v>0</v>
      </c>
      <c r="K66" s="408">
        <f>'F 1'!F67</f>
        <v>0.6666666666666666</v>
      </c>
    </row>
    <row r="67" spans="1:11" ht="15.75" thickBot="1">
      <c r="A67" s="401">
        <f>'F 4'!A66</f>
        <v>56</v>
      </c>
      <c r="B67" s="402" t="str">
        <f>'F 4'!B66</f>
        <v>5.1.2.1.4</v>
      </c>
      <c r="C67" s="403"/>
      <c r="D67" s="123"/>
      <c r="E67" s="403">
        <f t="shared" si="0"/>
        <v>0</v>
      </c>
      <c r="F67" s="281">
        <f>'F 4'!D66</f>
        <v>0</v>
      </c>
      <c r="G67" s="406"/>
      <c r="H67" s="98"/>
      <c r="I67" s="408">
        <f>'F 1'!E68</f>
        <v>0.5128205128205128</v>
      </c>
      <c r="J67" s="408">
        <f t="shared" si="1"/>
        <v>0</v>
      </c>
      <c r="K67" s="408">
        <f>'F 1'!F68</f>
        <v>4</v>
      </c>
    </row>
    <row r="68" spans="1:11" ht="15.75" thickBot="1">
      <c r="A68" s="401">
        <f>'F 4'!A67</f>
        <v>57</v>
      </c>
      <c r="B68" s="402" t="str">
        <f>'F 4'!B67</f>
        <v>5.1.2.2</v>
      </c>
      <c r="C68" s="403"/>
      <c r="D68" s="123"/>
      <c r="E68" s="403">
        <f t="shared" si="0"/>
        <v>0</v>
      </c>
      <c r="F68" s="281">
        <f>'F 4'!D67</f>
        <v>0</v>
      </c>
      <c r="G68" s="406"/>
      <c r="H68" s="98"/>
      <c r="I68" s="408">
        <f>'F 1'!E69</f>
        <v>1.5384615384615385</v>
      </c>
      <c r="J68" s="408">
        <f t="shared" si="1"/>
        <v>0</v>
      </c>
      <c r="K68" s="408">
        <f>'F 1'!F69</f>
        <v>1</v>
      </c>
    </row>
    <row r="69" spans="1:11" ht="15.75" thickBot="1">
      <c r="A69" s="401">
        <f>'F 4'!A68</f>
        <v>58</v>
      </c>
      <c r="B69" s="402" t="str">
        <f>'F 4'!B68</f>
        <v>5.2.1</v>
      </c>
      <c r="C69" s="403"/>
      <c r="D69" s="123"/>
      <c r="E69" s="403">
        <f t="shared" si="0"/>
        <v>0</v>
      </c>
      <c r="F69" s="281">
        <f>'F 4'!D68</f>
        <v>0</v>
      </c>
      <c r="G69" s="406"/>
      <c r="H69" s="98"/>
      <c r="I69" s="408">
        <f>'F 1'!E70</f>
        <v>0.5128205128205128</v>
      </c>
      <c r="J69" s="408">
        <f t="shared" si="1"/>
        <v>0</v>
      </c>
      <c r="K69" s="408">
        <f>'F 1'!F70</f>
        <v>4</v>
      </c>
    </row>
    <row r="70" spans="1:11" ht="15.75" thickBot="1">
      <c r="A70" s="401">
        <f>'F 4'!A69</f>
        <v>59</v>
      </c>
      <c r="B70" s="402" t="str">
        <f>'F 4'!B69</f>
        <v>5.2.2</v>
      </c>
      <c r="C70" s="403"/>
      <c r="D70" s="123"/>
      <c r="E70" s="403">
        <f t="shared" si="0"/>
        <v>0</v>
      </c>
      <c r="F70" s="281">
        <f>'F 4'!D69</f>
        <v>0</v>
      </c>
      <c r="G70" s="406"/>
      <c r="H70" s="98"/>
      <c r="I70" s="408">
        <f>'F 1'!E71</f>
        <v>1.5384615384615385</v>
      </c>
      <c r="J70" s="408">
        <f t="shared" si="1"/>
        <v>0</v>
      </c>
      <c r="K70" s="408">
        <f>'F 1'!F71</f>
        <v>2.392857142857143</v>
      </c>
    </row>
    <row r="71" spans="1:11" ht="15.75" thickBot="1">
      <c r="A71" s="401">
        <f>'F 4'!A70</f>
        <v>60</v>
      </c>
      <c r="B71" s="402" t="str">
        <f>'F 4'!B70</f>
        <v>5.2.3</v>
      </c>
      <c r="C71" s="403"/>
      <c r="D71" s="123"/>
      <c r="E71" s="403">
        <f t="shared" si="0"/>
        <v>0</v>
      </c>
      <c r="F71" s="281">
        <f>'F 4'!D70</f>
        <v>0</v>
      </c>
      <c r="G71" s="406"/>
      <c r="H71" s="98"/>
      <c r="I71" s="408">
        <f>'F 1'!E72</f>
        <v>1.0256410256410255</v>
      </c>
      <c r="J71" s="408">
        <f t="shared" si="1"/>
        <v>0</v>
      </c>
      <c r="K71" s="408">
        <f>'F 1'!F72</f>
        <v>0</v>
      </c>
    </row>
    <row r="72" spans="1:11" ht="15.75" thickBot="1">
      <c r="A72" s="401">
        <f>'F 4'!A71</f>
        <v>61</v>
      </c>
      <c r="B72" s="402" t="str">
        <f>'F 4'!B71</f>
        <v>5.3.1</v>
      </c>
      <c r="C72" s="403"/>
      <c r="D72" s="123"/>
      <c r="E72" s="403">
        <f t="shared" si="0"/>
        <v>0</v>
      </c>
      <c r="F72" s="281">
        <f>'F 4'!D71</f>
        <v>0</v>
      </c>
      <c r="G72" s="406"/>
      <c r="H72" s="98"/>
      <c r="I72" s="408">
        <f>'F 1'!E73</f>
        <v>0.5128205128205128</v>
      </c>
      <c r="J72" s="408">
        <f t="shared" si="1"/>
        <v>0</v>
      </c>
      <c r="K72" s="408">
        <f>'F 1'!F73</f>
        <v>0</v>
      </c>
    </row>
    <row r="73" spans="1:11" ht="15.75" thickBot="1">
      <c r="A73" s="401">
        <f>'F 4'!A72</f>
        <v>62</v>
      </c>
      <c r="B73" s="402" t="str">
        <f>'F 4'!B72</f>
        <v>5.3.2</v>
      </c>
      <c r="C73" s="403"/>
      <c r="D73" s="123"/>
      <c r="E73" s="403">
        <f t="shared" si="0"/>
        <v>0</v>
      </c>
      <c r="F73" s="281">
        <f>'F 4'!D72</f>
        <v>0</v>
      </c>
      <c r="G73" s="406"/>
      <c r="H73" s="98"/>
      <c r="I73" s="408">
        <f>'F 1'!E74</f>
        <v>0.5128205128205128</v>
      </c>
      <c r="J73" s="408">
        <f t="shared" si="1"/>
        <v>0</v>
      </c>
      <c r="K73" s="408">
        <f>'F 1'!F74</f>
        <v>0</v>
      </c>
    </row>
    <row r="74" spans="1:11" ht="15.75" thickBot="1">
      <c r="A74" s="401">
        <f>'F 4'!A73</f>
        <v>63</v>
      </c>
      <c r="B74" s="402" t="str">
        <f>'F 4'!B73</f>
        <v>5.4.1.1</v>
      </c>
      <c r="C74" s="403"/>
      <c r="D74" s="123"/>
      <c r="E74" s="403">
        <f t="shared" si="0"/>
        <v>0</v>
      </c>
      <c r="F74" s="281">
        <f>'F 4'!D73</f>
        <v>0</v>
      </c>
      <c r="G74" s="406"/>
      <c r="H74" s="98"/>
      <c r="I74" s="408">
        <f>'F 1'!E75</f>
        <v>0.5128205128205128</v>
      </c>
      <c r="J74" s="408">
        <f t="shared" si="1"/>
        <v>0</v>
      </c>
      <c r="K74" s="408">
        <f>'F 1'!F75</f>
        <v>3</v>
      </c>
    </row>
    <row r="75" spans="1:11" ht="15.75" thickBot="1">
      <c r="A75" s="401">
        <f>'F 4'!A74</f>
        <v>64</v>
      </c>
      <c r="B75" s="402" t="str">
        <f>'F 4'!B74</f>
        <v>5.4.1.2</v>
      </c>
      <c r="C75" s="403"/>
      <c r="D75" s="123"/>
      <c r="E75" s="403">
        <f t="shared" si="0"/>
        <v>0</v>
      </c>
      <c r="F75" s="281">
        <f>'F 4'!D74</f>
        <v>0</v>
      </c>
      <c r="G75" s="406"/>
      <c r="H75" s="98"/>
      <c r="I75" s="408">
        <f>'F 1'!E76</f>
        <v>0.5128205128205128</v>
      </c>
      <c r="J75" s="408">
        <f t="shared" si="1"/>
        <v>0</v>
      </c>
      <c r="K75" s="408">
        <f>'F 1'!F76</f>
        <v>3</v>
      </c>
    </row>
    <row r="76" spans="1:11" ht="15.75" thickBot="1">
      <c r="A76" s="401">
        <f>'F 4'!A75</f>
        <v>65</v>
      </c>
      <c r="B76" s="402" t="str">
        <f>'F 4'!B75</f>
        <v>5.4.2.1</v>
      </c>
      <c r="C76" s="403"/>
      <c r="D76" s="123"/>
      <c r="E76" s="403">
        <f t="shared" si="0"/>
        <v>0</v>
      </c>
      <c r="F76" s="281">
        <f>'F 4'!D75</f>
        <v>0</v>
      </c>
      <c r="G76" s="406"/>
      <c r="H76" s="98"/>
      <c r="I76" s="408">
        <f>'F 1'!E77</f>
        <v>0.5128205128205128</v>
      </c>
      <c r="J76" s="408">
        <f t="shared" si="1"/>
        <v>0</v>
      </c>
      <c r="K76" s="408">
        <f>'F 1'!F77</f>
        <v>0</v>
      </c>
    </row>
    <row r="77" spans="1:11" ht="15.75" thickBot="1">
      <c r="A77" s="401">
        <f>'F 4'!A76</f>
        <v>66</v>
      </c>
      <c r="B77" s="402" t="str">
        <f>'F 4'!B76</f>
        <v>5.4.2.2</v>
      </c>
      <c r="C77" s="403"/>
      <c r="D77" s="123"/>
      <c r="E77" s="403">
        <f aca="true" t="shared" si="2" ref="E77:E110">(C77+D77)/2</f>
        <v>0</v>
      </c>
      <c r="F77" s="281">
        <f>'F 4'!D76</f>
        <v>0</v>
      </c>
      <c r="G77" s="406"/>
      <c r="H77" s="98"/>
      <c r="I77" s="408">
        <f>'F 1'!E78</f>
        <v>0.5128205128205128</v>
      </c>
      <c r="J77" s="408">
        <f aca="true" t="shared" si="3" ref="J77:J114">E77*I77</f>
        <v>0</v>
      </c>
      <c r="K77" s="408">
        <f>'F 1'!F78</f>
        <v>0</v>
      </c>
    </row>
    <row r="78" spans="1:11" ht="15.75" thickBot="1">
      <c r="A78" s="401">
        <f>'F 4'!A77</f>
        <v>67</v>
      </c>
      <c r="B78" s="402" t="str">
        <f>'F 4'!B77</f>
        <v>5.5.1</v>
      </c>
      <c r="C78" s="403"/>
      <c r="D78" s="123"/>
      <c r="E78" s="403">
        <f t="shared" si="2"/>
        <v>0</v>
      </c>
      <c r="F78" s="281">
        <f>'F 4'!D77</f>
        <v>0</v>
      </c>
      <c r="G78" s="406"/>
      <c r="H78" s="98"/>
      <c r="I78" s="408">
        <f>'F 1'!E79</f>
        <v>1.0256410256410255</v>
      </c>
      <c r="J78" s="408">
        <f t="shared" si="3"/>
        <v>0</v>
      </c>
      <c r="K78" s="408">
        <f>'F 1'!F79</f>
        <v>1</v>
      </c>
    </row>
    <row r="79" spans="1:11" ht="15.75" thickBot="1">
      <c r="A79" s="401">
        <f>'F 4'!A78</f>
        <v>68</v>
      </c>
      <c r="B79" s="402" t="str">
        <f>'F 4'!B78</f>
        <v>5.5.2.1</v>
      </c>
      <c r="C79" s="403"/>
      <c r="D79" s="123"/>
      <c r="E79" s="403">
        <f t="shared" si="2"/>
        <v>0</v>
      </c>
      <c r="F79" s="281">
        <f>'F 4'!D78</f>
        <v>0</v>
      </c>
      <c r="G79" s="406"/>
      <c r="H79" s="98"/>
      <c r="I79" s="408">
        <f>'F 1'!E80</f>
        <v>0.5128205128205128</v>
      </c>
      <c r="J79" s="408">
        <f t="shared" si="3"/>
        <v>0</v>
      </c>
      <c r="K79" s="408">
        <f>'F 1'!F80</f>
        <v>0</v>
      </c>
    </row>
    <row r="80" spans="1:11" ht="15.75" thickBot="1">
      <c r="A80" s="401">
        <f>'F 4'!A79</f>
        <v>69</v>
      </c>
      <c r="B80" s="402" t="str">
        <f>'F 4'!B79</f>
        <v>5.5.2.2</v>
      </c>
      <c r="C80" s="403"/>
      <c r="D80" s="123"/>
      <c r="E80" s="403">
        <f t="shared" si="2"/>
        <v>0</v>
      </c>
      <c r="F80" s="281">
        <f>'F 4'!D79</f>
        <v>0</v>
      </c>
      <c r="G80" s="406"/>
      <c r="H80" s="98"/>
      <c r="I80" s="408">
        <f>'F 1'!E81</f>
        <v>0.5128205128205128</v>
      </c>
      <c r="J80" s="408">
        <f t="shared" si="3"/>
        <v>0</v>
      </c>
      <c r="K80" s="408">
        <f>'F 1'!F81</f>
        <v>2.5</v>
      </c>
    </row>
    <row r="81" spans="1:11" ht="15.75" thickBot="1">
      <c r="A81" s="401">
        <f>'F 4'!A80</f>
        <v>70</v>
      </c>
      <c r="B81" s="402" t="str">
        <f>'F 4'!B80</f>
        <v>5.5.2.3</v>
      </c>
      <c r="C81" s="403"/>
      <c r="D81" s="123"/>
      <c r="E81" s="403">
        <f t="shared" si="2"/>
        <v>0</v>
      </c>
      <c r="F81" s="281">
        <f>'F 4'!D80</f>
        <v>0</v>
      </c>
      <c r="G81" s="406"/>
      <c r="H81" s="98"/>
      <c r="I81" s="408">
        <f>'F 1'!E82</f>
        <v>0.5128205128205128</v>
      </c>
      <c r="J81" s="408">
        <f t="shared" si="3"/>
        <v>0</v>
      </c>
      <c r="K81" s="408">
        <f>'F 1'!F82</f>
        <v>4</v>
      </c>
    </row>
    <row r="82" spans="1:11" ht="15.75" thickBot="1">
      <c r="A82" s="401">
        <f>'F 4'!A81</f>
        <v>71</v>
      </c>
      <c r="B82" s="402" t="str">
        <f>'F 4'!B81</f>
        <v>5.5.2.4</v>
      </c>
      <c r="C82" s="403"/>
      <c r="D82" s="123"/>
      <c r="E82" s="403">
        <f t="shared" si="2"/>
        <v>0</v>
      </c>
      <c r="F82" s="281">
        <f>'F 4'!D81</f>
        <v>0</v>
      </c>
      <c r="G82" s="406"/>
      <c r="H82" s="98"/>
      <c r="I82" s="408">
        <f>'F 1'!E83</f>
        <v>0.5128205128205128</v>
      </c>
      <c r="J82" s="408">
        <f t="shared" si="3"/>
        <v>0</v>
      </c>
      <c r="K82" s="408">
        <f>'F 1'!F83</f>
        <v>0</v>
      </c>
    </row>
    <row r="83" spans="1:11" ht="15.75" thickBot="1">
      <c r="A83" s="401">
        <f>'F 4'!A82</f>
        <v>72</v>
      </c>
      <c r="B83" s="402">
        <f>'F 4'!B82</f>
        <v>5.6</v>
      </c>
      <c r="C83" s="403"/>
      <c r="D83" s="123"/>
      <c r="E83" s="403">
        <f t="shared" si="2"/>
        <v>0</v>
      </c>
      <c r="F83" s="281">
        <f>'F 4'!D82</f>
        <v>0</v>
      </c>
      <c r="G83" s="406"/>
      <c r="H83" s="98"/>
      <c r="I83" s="408">
        <f>'F 1'!E84</f>
        <v>0.5128205128205128</v>
      </c>
      <c r="J83" s="408">
        <f t="shared" si="3"/>
        <v>0</v>
      </c>
      <c r="K83" s="408">
        <f>'F 1'!F84</f>
        <v>0</v>
      </c>
    </row>
    <row r="84" spans="1:11" ht="15.75" thickBot="1">
      <c r="A84" s="401">
        <f>'F 4'!A83</f>
        <v>73</v>
      </c>
      <c r="B84" s="402" t="str">
        <f>'F 4'!B83</f>
        <v>5.7.1</v>
      </c>
      <c r="C84" s="403"/>
      <c r="D84" s="123"/>
      <c r="E84" s="403">
        <f t="shared" si="2"/>
        <v>0</v>
      </c>
      <c r="F84" s="281">
        <f>'F 4'!D83</f>
        <v>0</v>
      </c>
      <c r="G84" s="406"/>
      <c r="H84" s="98"/>
      <c r="I84" s="408">
        <f>'F 1'!E85</f>
        <v>0.5128205128205128</v>
      </c>
      <c r="J84" s="408">
        <f t="shared" si="3"/>
        <v>0</v>
      </c>
      <c r="K84" s="408">
        <f>'F 1'!F85</f>
        <v>0</v>
      </c>
    </row>
    <row r="85" spans="1:11" ht="15.75" thickBot="1">
      <c r="A85" s="401">
        <f>'F 4'!A84</f>
        <v>74</v>
      </c>
      <c r="B85" s="402" t="str">
        <f>'F 4'!B84</f>
        <v>5.7.2</v>
      </c>
      <c r="C85" s="403"/>
      <c r="D85" s="123"/>
      <c r="E85" s="403">
        <f t="shared" si="2"/>
        <v>0</v>
      </c>
      <c r="F85" s="281">
        <f>'F 4'!D84</f>
        <v>0</v>
      </c>
      <c r="G85" s="406"/>
      <c r="H85" s="98"/>
      <c r="I85" s="408">
        <f>'F 1'!E86</f>
        <v>1.0256410256410255</v>
      </c>
      <c r="J85" s="408">
        <f t="shared" si="3"/>
        <v>0</v>
      </c>
      <c r="K85" s="408">
        <f>'F 1'!F86</f>
        <v>1</v>
      </c>
    </row>
    <row r="86" spans="1:11" ht="15.75" thickBot="1">
      <c r="A86" s="401">
        <f>'F 4'!A85</f>
        <v>75</v>
      </c>
      <c r="B86" s="402" t="str">
        <f>'F 4'!B85</f>
        <v>5.7.3</v>
      </c>
      <c r="C86" s="403"/>
      <c r="D86" s="123"/>
      <c r="E86" s="403">
        <f t="shared" si="2"/>
        <v>0</v>
      </c>
      <c r="F86" s="281">
        <f>'F 4'!D85</f>
        <v>0</v>
      </c>
      <c r="G86" s="406"/>
      <c r="H86" s="98"/>
      <c r="I86" s="408">
        <f>'F 1'!E87</f>
        <v>0.5128205128205128</v>
      </c>
      <c r="J86" s="408">
        <f t="shared" si="3"/>
        <v>0</v>
      </c>
      <c r="K86" s="408">
        <f>'F 1'!F87</f>
        <v>0</v>
      </c>
    </row>
    <row r="87" spans="1:11" ht="15.75" thickBot="1">
      <c r="A87" s="401">
        <f>'F 4'!A86</f>
        <v>76</v>
      </c>
      <c r="B87" s="402" t="str">
        <f>'F 4'!B86</f>
        <v>5.7.4</v>
      </c>
      <c r="C87" s="403"/>
      <c r="D87" s="123"/>
      <c r="E87" s="403">
        <f t="shared" si="2"/>
        <v>0</v>
      </c>
      <c r="F87" s="281">
        <f>'F 4'!D86</f>
        <v>0</v>
      </c>
      <c r="G87" s="406"/>
      <c r="H87" s="98"/>
      <c r="I87" s="408">
        <f>'F 1'!E88</f>
        <v>0.5128205128205128</v>
      </c>
      <c r="J87" s="408">
        <f t="shared" si="3"/>
        <v>0</v>
      </c>
      <c r="K87" s="408">
        <f>'F 1'!F88</f>
        <v>0</v>
      </c>
    </row>
    <row r="88" spans="1:11" ht="15.75" thickBot="1">
      <c r="A88" s="401">
        <f>'F 4'!A87</f>
        <v>77</v>
      </c>
      <c r="B88" s="402" t="str">
        <f>'F 4'!B87</f>
        <v>5.8</v>
      </c>
      <c r="C88" s="403"/>
      <c r="D88" s="123"/>
      <c r="E88" s="403">
        <f t="shared" si="2"/>
        <v>0</v>
      </c>
      <c r="F88" s="281">
        <f>'F 4'!D87</f>
        <v>0</v>
      </c>
      <c r="G88" s="406"/>
      <c r="H88" s="98"/>
      <c r="I88" s="408">
        <f>'F 1'!E89</f>
        <v>0.5128205128205128</v>
      </c>
      <c r="J88" s="408">
        <f t="shared" si="3"/>
        <v>0</v>
      </c>
      <c r="K88" s="408">
        <f>'F 1'!F89</f>
        <v>0</v>
      </c>
    </row>
    <row r="89" spans="1:11" ht="15.75" thickBot="1">
      <c r="A89" s="401">
        <f>'F 4'!A88</f>
        <v>78</v>
      </c>
      <c r="B89" s="402" t="str">
        <f>'F 4'!B88</f>
        <v>5.9</v>
      </c>
      <c r="C89" s="403"/>
      <c r="D89" s="123"/>
      <c r="E89" s="403">
        <f t="shared" si="2"/>
        <v>0</v>
      </c>
      <c r="F89" s="281">
        <f>'F 4'!D88</f>
        <v>0</v>
      </c>
      <c r="G89" s="406"/>
      <c r="H89" s="98"/>
      <c r="I89" s="408">
        <f>'F 1'!E90</f>
        <v>1.0256410256410255</v>
      </c>
      <c r="J89" s="408">
        <f t="shared" si="3"/>
        <v>0</v>
      </c>
      <c r="K89" s="408">
        <f>'F 1'!F90</f>
        <v>0</v>
      </c>
    </row>
    <row r="90" spans="1:11" ht="15.75" thickBot="1">
      <c r="A90" s="401">
        <f>'F 4'!A89</f>
        <v>79</v>
      </c>
      <c r="B90" s="402" t="str">
        <f>'F 4'!B89</f>
        <v>6.1</v>
      </c>
      <c r="C90" s="403"/>
      <c r="D90" s="123"/>
      <c r="E90" s="403">
        <f t="shared" si="2"/>
        <v>0</v>
      </c>
      <c r="F90" s="281">
        <f>'F 4'!D89</f>
        <v>0</v>
      </c>
      <c r="G90" s="406"/>
      <c r="H90" s="98"/>
      <c r="I90" s="408">
        <f>'F 1'!E91</f>
        <v>0.7272727272727273</v>
      </c>
      <c r="J90" s="408">
        <f t="shared" si="3"/>
        <v>0</v>
      </c>
      <c r="K90" s="408">
        <f>'F 1'!F91</f>
        <v>0</v>
      </c>
    </row>
    <row r="91" spans="1:11" ht="15.75" thickBot="1">
      <c r="A91" s="401">
        <f>'F 4'!A90</f>
        <v>80</v>
      </c>
      <c r="B91" s="402" t="str">
        <f>'F 4'!B90</f>
        <v>6.2.1.1</v>
      </c>
      <c r="C91" s="403"/>
      <c r="D91" s="123"/>
      <c r="E91" s="403">
        <f t="shared" si="2"/>
        <v>0</v>
      </c>
      <c r="F91" s="281">
        <f>'F 4'!D90</f>
        <v>0</v>
      </c>
      <c r="G91" s="406"/>
      <c r="H91" s="98"/>
      <c r="I91" s="408">
        <f>'F 1'!E92</f>
        <v>0.7272727272727273</v>
      </c>
      <c r="J91" s="408">
        <f t="shared" si="3"/>
        <v>0</v>
      </c>
      <c r="K91" s="408">
        <f>'F 1'!F92</f>
        <v>3.648390908876007</v>
      </c>
    </row>
    <row r="92" spans="1:11" ht="15.75" thickBot="1">
      <c r="A92" s="401">
        <f>'F 4'!A91</f>
        <v>81</v>
      </c>
      <c r="B92" s="402" t="str">
        <f>'F 4'!B91</f>
        <v>6.2.1.2</v>
      </c>
      <c r="C92" s="403"/>
      <c r="D92" s="123"/>
      <c r="E92" s="403">
        <f t="shared" si="2"/>
        <v>0</v>
      </c>
      <c r="F92" s="281">
        <f>'F 4'!D91</f>
        <v>0</v>
      </c>
      <c r="G92" s="406"/>
      <c r="H92" s="98"/>
      <c r="I92" s="408">
        <f>'F 1'!E93</f>
        <v>2.1818181818181817</v>
      </c>
      <c r="J92" s="408">
        <f t="shared" si="3"/>
        <v>0</v>
      </c>
      <c r="K92" s="408">
        <f>'F 1'!F93</f>
        <v>4</v>
      </c>
    </row>
    <row r="93" spans="1:11" ht="15.75" thickBot="1">
      <c r="A93" s="401">
        <f>'F 4'!A92</f>
        <v>82</v>
      </c>
      <c r="B93" s="402" t="str">
        <f>'F 4'!B92</f>
        <v>6.2.2</v>
      </c>
      <c r="C93" s="403"/>
      <c r="D93" s="123"/>
      <c r="E93" s="403">
        <f t="shared" si="2"/>
        <v>0</v>
      </c>
      <c r="F93" s="281">
        <f>'F 4'!D92</f>
        <v>0</v>
      </c>
      <c r="G93" s="406"/>
      <c r="H93" s="98"/>
      <c r="I93" s="408">
        <f>'F 1'!E94</f>
        <v>1.4545454545454546</v>
      </c>
      <c r="J93" s="408">
        <f t="shared" si="3"/>
        <v>0</v>
      </c>
      <c r="K93" s="408">
        <f>'F 1'!F94</f>
        <v>4</v>
      </c>
    </row>
    <row r="94" spans="1:11" ht="15.75" thickBot="1">
      <c r="A94" s="401">
        <f>'F 4'!A93</f>
        <v>83</v>
      </c>
      <c r="B94" s="402" t="str">
        <f>'F 4'!B93</f>
        <v>6.2.3</v>
      </c>
      <c r="C94" s="403"/>
      <c r="D94" s="123"/>
      <c r="E94" s="403">
        <f t="shared" si="2"/>
        <v>0</v>
      </c>
      <c r="F94" s="281">
        <f>'F 4'!D93</f>
        <v>0</v>
      </c>
      <c r="G94" s="406"/>
      <c r="H94" s="98"/>
      <c r="I94" s="408">
        <f>'F 1'!E95</f>
        <v>1.4545454545454546</v>
      </c>
      <c r="J94" s="408">
        <f t="shared" si="3"/>
        <v>0</v>
      </c>
      <c r="K94" s="408">
        <f>'F 1'!F95</f>
        <v>0</v>
      </c>
    </row>
    <row r="95" spans="1:11" ht="15.75" thickBot="1">
      <c r="A95" s="401">
        <f>'F 4'!A94</f>
        <v>84</v>
      </c>
      <c r="B95" s="402" t="str">
        <f>'F 4'!B94</f>
        <v>6.3.1</v>
      </c>
      <c r="C95" s="403"/>
      <c r="D95" s="123"/>
      <c r="E95" s="403">
        <f t="shared" si="2"/>
        <v>0</v>
      </c>
      <c r="F95" s="281">
        <f>'F 4'!D94</f>
        <v>0</v>
      </c>
      <c r="G95" s="406"/>
      <c r="H95" s="98"/>
      <c r="I95" s="408">
        <f>'F 1'!E96</f>
        <v>0.7272727272727273</v>
      </c>
      <c r="J95" s="408">
        <f t="shared" si="3"/>
        <v>0</v>
      </c>
      <c r="K95" s="408">
        <f>'F 1'!F96</f>
        <v>2</v>
      </c>
    </row>
    <row r="96" spans="1:11" ht="15.75" thickBot="1">
      <c r="A96" s="401">
        <f>'F 4'!A95</f>
        <v>85</v>
      </c>
      <c r="B96" s="402" t="str">
        <f>'F 4'!B95</f>
        <v>6.3.2</v>
      </c>
      <c r="C96" s="403"/>
      <c r="D96" s="123"/>
      <c r="E96" s="403">
        <f t="shared" si="2"/>
        <v>0</v>
      </c>
      <c r="F96" s="281">
        <f>'F 4'!D95</f>
        <v>0</v>
      </c>
      <c r="G96" s="406"/>
      <c r="H96" s="98"/>
      <c r="I96" s="408">
        <f>'F 1'!E97</f>
        <v>2.909090909090909</v>
      </c>
      <c r="J96" s="408">
        <f t="shared" si="3"/>
        <v>0</v>
      </c>
      <c r="K96" s="408">
        <f>'F 1'!F97</f>
        <v>1</v>
      </c>
    </row>
    <row r="97" spans="1:11" ht="15.75" thickBot="1">
      <c r="A97" s="401">
        <f>'F 4'!A96</f>
        <v>86</v>
      </c>
      <c r="B97" s="402" t="str">
        <f>'F 4'!B96</f>
        <v>6.3.3</v>
      </c>
      <c r="C97" s="403"/>
      <c r="D97" s="123"/>
      <c r="E97" s="403">
        <f t="shared" si="2"/>
        <v>0</v>
      </c>
      <c r="F97" s="281">
        <f>'F 4'!D96</f>
        <v>0</v>
      </c>
      <c r="G97" s="406"/>
      <c r="H97" s="98"/>
      <c r="I97" s="408">
        <f>'F 1'!E98</f>
        <v>0.7272727272727273</v>
      </c>
      <c r="J97" s="408">
        <f t="shared" si="3"/>
        <v>0</v>
      </c>
      <c r="K97" s="408">
        <f>'F 1'!F98</f>
        <v>3</v>
      </c>
    </row>
    <row r="98" spans="1:11" ht="15.75" thickBot="1">
      <c r="A98" s="401">
        <f>'F 4'!A97</f>
        <v>87</v>
      </c>
      <c r="B98" s="402" t="str">
        <f>'F 4'!B97</f>
        <v>6.4.1.1</v>
      </c>
      <c r="C98" s="403"/>
      <c r="D98" s="123"/>
      <c r="E98" s="403">
        <f t="shared" si="2"/>
        <v>0</v>
      </c>
      <c r="F98" s="281">
        <f>'F 4'!D97</f>
        <v>0</v>
      </c>
      <c r="G98" s="406"/>
      <c r="H98" s="98"/>
      <c r="I98" s="408">
        <f>'F 1'!E99</f>
        <v>0.7272727272727273</v>
      </c>
      <c r="J98" s="408">
        <f t="shared" si="3"/>
        <v>0</v>
      </c>
      <c r="K98" s="408">
        <f>'F 1'!F99</f>
        <v>1.4</v>
      </c>
    </row>
    <row r="99" spans="1:11" ht="15.75" thickBot="1">
      <c r="A99" s="401">
        <f>'F 4'!A98</f>
        <v>88</v>
      </c>
      <c r="B99" s="402" t="str">
        <f>'F 4'!B98</f>
        <v>6.4.1.2</v>
      </c>
      <c r="C99" s="403"/>
      <c r="D99" s="123"/>
      <c r="E99" s="403">
        <f t="shared" si="2"/>
        <v>0</v>
      </c>
      <c r="F99" s="281">
        <f>'F 4'!D98</f>
        <v>0</v>
      </c>
      <c r="G99" s="406"/>
      <c r="H99" s="98"/>
      <c r="I99" s="408">
        <f>'F 1'!E100</f>
        <v>1.4545454545454546</v>
      </c>
      <c r="J99" s="408">
        <f t="shared" si="3"/>
        <v>0</v>
      </c>
      <c r="K99" s="408">
        <f>'F 1'!F100</f>
        <v>0</v>
      </c>
    </row>
    <row r="100" spans="1:11" ht="15.75" thickBot="1">
      <c r="A100" s="401">
        <f>'F 4'!A99</f>
        <v>89</v>
      </c>
      <c r="B100" s="402" t="str">
        <f>'F 4'!B99</f>
        <v>6.4.1.3</v>
      </c>
      <c r="C100" s="403"/>
      <c r="D100" s="123"/>
      <c r="E100" s="403">
        <f t="shared" si="2"/>
        <v>0</v>
      </c>
      <c r="F100" s="281">
        <f>'F 4'!D99</f>
        <v>0</v>
      </c>
      <c r="G100" s="406"/>
      <c r="H100" s="98"/>
      <c r="I100" s="408">
        <f>'F 1'!E101</f>
        <v>0.36363636363636365</v>
      </c>
      <c r="J100" s="408">
        <f t="shared" si="3"/>
        <v>0</v>
      </c>
      <c r="K100" s="408">
        <f>'F 1'!F101</f>
        <v>1</v>
      </c>
    </row>
    <row r="101" spans="1:11" ht="15.75" thickBot="1">
      <c r="A101" s="401">
        <f>'F 4'!A100</f>
        <v>90</v>
      </c>
      <c r="B101" s="402" t="str">
        <f>'F 4'!B100</f>
        <v>6.4.1.4</v>
      </c>
      <c r="C101" s="403"/>
      <c r="D101" s="123"/>
      <c r="E101" s="403">
        <f t="shared" si="2"/>
        <v>0</v>
      </c>
      <c r="F101" s="281">
        <f>'F 4'!D100</f>
        <v>0</v>
      </c>
      <c r="G101" s="406"/>
      <c r="H101" s="98"/>
      <c r="I101" s="408">
        <f>'F 1'!E102</f>
        <v>0.36363636363636365</v>
      </c>
      <c r="J101" s="408">
        <f t="shared" si="3"/>
        <v>0</v>
      </c>
      <c r="K101" s="408">
        <f>'F 1'!F102</f>
        <v>1</v>
      </c>
    </row>
    <row r="102" spans="1:11" ht="15.75" thickBot="1">
      <c r="A102" s="401">
        <f>'F 4'!A101</f>
        <v>91</v>
      </c>
      <c r="B102" s="402" t="str">
        <f>'F 4'!B101</f>
        <v>6.4.1.5</v>
      </c>
      <c r="C102" s="403"/>
      <c r="D102" s="123"/>
      <c r="E102" s="403">
        <f t="shared" si="2"/>
        <v>0</v>
      </c>
      <c r="F102" s="281">
        <f>'F 4'!D101</f>
        <v>0</v>
      </c>
      <c r="G102" s="406"/>
      <c r="H102" s="98"/>
      <c r="I102" s="408">
        <f>'F 1'!E103</f>
        <v>0.36363636363636365</v>
      </c>
      <c r="J102" s="408">
        <f t="shared" si="3"/>
        <v>0</v>
      </c>
      <c r="K102" s="408">
        <f>'F 1'!F103</f>
        <v>2</v>
      </c>
    </row>
    <row r="103" spans="1:11" ht="15.75" thickBot="1">
      <c r="A103" s="401">
        <f>'F 4'!A102</f>
        <v>92</v>
      </c>
      <c r="B103" s="402" t="str">
        <f>'F 4'!B102</f>
        <v>6.4.1.6</v>
      </c>
      <c r="C103" s="403"/>
      <c r="D103" s="123"/>
      <c r="E103" s="403">
        <f t="shared" si="2"/>
        <v>0</v>
      </c>
      <c r="F103" s="281">
        <f>'F 4'!D102</f>
        <v>0</v>
      </c>
      <c r="G103" s="406"/>
      <c r="H103" s="98"/>
      <c r="I103" s="408">
        <f>'F 1'!E104</f>
        <v>0.36363636363636365</v>
      </c>
      <c r="J103" s="408">
        <f t="shared" si="3"/>
        <v>0</v>
      </c>
      <c r="K103" s="408">
        <f>'F 1'!F104</f>
        <v>0</v>
      </c>
    </row>
    <row r="104" spans="1:11" ht="15.75" thickBot="1">
      <c r="A104" s="401">
        <f>'F 4'!A103</f>
        <v>93</v>
      </c>
      <c r="B104" s="402" t="str">
        <f>'F 4'!B103</f>
        <v>6.4.2</v>
      </c>
      <c r="C104" s="403"/>
      <c r="D104" s="123"/>
      <c r="E104" s="403">
        <f t="shared" si="2"/>
        <v>0</v>
      </c>
      <c r="F104" s="281">
        <f>'F 4'!D103</f>
        <v>0</v>
      </c>
      <c r="G104" s="406"/>
      <c r="H104" s="98"/>
      <c r="I104" s="408">
        <f>'F 1'!E105</f>
        <v>0.36363636363636365</v>
      </c>
      <c r="J104" s="408">
        <f t="shared" si="3"/>
        <v>0</v>
      </c>
      <c r="K104" s="408">
        <f>'F 1'!F105</f>
        <v>1</v>
      </c>
    </row>
    <row r="105" spans="1:11" ht="15.75" thickBot="1">
      <c r="A105" s="401">
        <f>'F 4'!A104</f>
        <v>94</v>
      </c>
      <c r="B105" s="402" t="str">
        <f>'F 4'!B104</f>
        <v>6.4.3</v>
      </c>
      <c r="C105" s="403"/>
      <c r="D105" s="123"/>
      <c r="E105" s="403">
        <f t="shared" si="2"/>
        <v>0</v>
      </c>
      <c r="F105" s="281">
        <f>'F 4'!D104</f>
        <v>0</v>
      </c>
      <c r="G105" s="406"/>
      <c r="H105" s="98"/>
      <c r="I105" s="408">
        <f>'F 1'!E106</f>
        <v>2.909090909090909</v>
      </c>
      <c r="J105" s="408">
        <f t="shared" si="3"/>
        <v>0</v>
      </c>
      <c r="K105" s="408">
        <f>'F 1'!F106</f>
        <v>2</v>
      </c>
    </row>
    <row r="106" spans="1:11" ht="15.75" thickBot="1">
      <c r="A106" s="401">
        <f>'F 4'!A105</f>
        <v>95</v>
      </c>
      <c r="B106" s="402" t="str">
        <f>'F 4'!B105</f>
        <v>6.5.1</v>
      </c>
      <c r="C106" s="403"/>
      <c r="D106" s="123"/>
      <c r="E106" s="403">
        <f t="shared" si="2"/>
        <v>0</v>
      </c>
      <c r="F106" s="281">
        <f>'F 4'!D105</f>
        <v>0</v>
      </c>
      <c r="G106" s="406"/>
      <c r="H106" s="98"/>
      <c r="I106" s="408">
        <f>'F 1'!E107</f>
        <v>1.4545454545454546</v>
      </c>
      <c r="J106" s="408">
        <f t="shared" si="3"/>
        <v>0</v>
      </c>
      <c r="K106" s="408">
        <f>'F 1'!F107</f>
        <v>1</v>
      </c>
    </row>
    <row r="107" spans="1:11" ht="15.75" thickBot="1">
      <c r="A107" s="401">
        <f>'F 4'!A106</f>
        <v>96</v>
      </c>
      <c r="B107" s="402" t="str">
        <f>'F 4'!B106</f>
        <v>6.5.2</v>
      </c>
      <c r="C107" s="403"/>
      <c r="D107" s="123"/>
      <c r="E107" s="403">
        <f t="shared" si="2"/>
        <v>0</v>
      </c>
      <c r="F107" s="281">
        <f>'F 4'!D106</f>
        <v>0</v>
      </c>
      <c r="G107" s="406"/>
      <c r="H107" s="98"/>
      <c r="I107" s="408">
        <f>'F 1'!E108</f>
        <v>0.7272727272727273</v>
      </c>
      <c r="J107" s="408">
        <f t="shared" si="3"/>
        <v>0</v>
      </c>
      <c r="K107" s="408">
        <f>'F 1'!F108</f>
        <v>1</v>
      </c>
    </row>
    <row r="108" spans="1:11" ht="15.75" thickBot="1">
      <c r="A108" s="401">
        <f>'F 4'!A107</f>
        <v>97</v>
      </c>
      <c r="B108" s="402" t="str">
        <f>'F 4'!B107</f>
        <v>7.1.1</v>
      </c>
      <c r="C108" s="403"/>
      <c r="D108" s="123"/>
      <c r="E108" s="403">
        <f t="shared" si="2"/>
        <v>0</v>
      </c>
      <c r="F108" s="281">
        <f>'F 4'!D107</f>
        <v>0</v>
      </c>
      <c r="G108" s="406"/>
      <c r="H108" s="98"/>
      <c r="I108" s="408">
        <f>'F 1'!E109</f>
        <v>1.5384615384615385</v>
      </c>
      <c r="J108" s="408">
        <f t="shared" si="3"/>
        <v>0</v>
      </c>
      <c r="K108" s="408">
        <f>'F 1'!F109</f>
        <v>0</v>
      </c>
    </row>
    <row r="109" spans="1:11" ht="15.75" thickBot="1">
      <c r="A109" s="401">
        <f>'F 4'!A108</f>
        <v>98</v>
      </c>
      <c r="B109" s="402" t="str">
        <f>'F 4'!B108</f>
        <v>7.1.2</v>
      </c>
      <c r="C109" s="403"/>
      <c r="D109" s="123"/>
      <c r="E109" s="403">
        <f t="shared" si="2"/>
        <v>0</v>
      </c>
      <c r="F109" s="281">
        <f>'F 4'!D108</f>
        <v>0</v>
      </c>
      <c r="G109" s="406"/>
      <c r="H109" s="98"/>
      <c r="I109" s="408">
        <f>'F 1'!E110</f>
        <v>0.7692307692307693</v>
      </c>
      <c r="J109" s="408">
        <f t="shared" si="3"/>
        <v>0</v>
      </c>
      <c r="K109" s="408">
        <f>'F 1'!F110</f>
        <v>1.5</v>
      </c>
    </row>
    <row r="110" spans="1:11" ht="15.75" thickBot="1">
      <c r="A110" s="401">
        <f>'F 4'!A109</f>
        <v>99</v>
      </c>
      <c r="B110" s="402" t="str">
        <f>'F 4'!B109</f>
        <v>7.1.3</v>
      </c>
      <c r="C110" s="403"/>
      <c r="D110" s="123"/>
      <c r="E110" s="403">
        <f t="shared" si="2"/>
        <v>0</v>
      </c>
      <c r="F110" s="281">
        <f>'F 4'!D109</f>
        <v>0</v>
      </c>
      <c r="G110" s="406"/>
      <c r="H110" s="98"/>
      <c r="I110" s="408">
        <f>'F 1'!E111</f>
        <v>0.7692307692307693</v>
      </c>
      <c r="J110" s="408">
        <f t="shared" si="3"/>
        <v>0</v>
      </c>
      <c r="K110" s="408">
        <f>'F 1'!F111</f>
        <v>2</v>
      </c>
    </row>
    <row r="111" spans="1:11" ht="15.75" thickBot="1">
      <c r="A111" s="401">
        <f>'F 4'!A110</f>
        <v>100</v>
      </c>
      <c r="B111" s="402" t="str">
        <f>'F 4'!B110</f>
        <v>7.2.1</v>
      </c>
      <c r="C111" s="403"/>
      <c r="D111" s="123"/>
      <c r="E111" s="403">
        <f>(C111+D111)/2</f>
        <v>0</v>
      </c>
      <c r="F111" s="281">
        <f>'F 4'!D110</f>
        <v>0</v>
      </c>
      <c r="G111" s="406"/>
      <c r="H111" s="98"/>
      <c r="I111" s="408">
        <f>'F 1'!E112</f>
        <v>3.076923076923077</v>
      </c>
      <c r="J111" s="408">
        <f t="shared" si="3"/>
        <v>0</v>
      </c>
      <c r="K111" s="408">
        <f>'F 1'!F112</f>
        <v>1.75</v>
      </c>
    </row>
    <row r="112" spans="1:11" s="29" customFormat="1" ht="15.75" thickBot="1">
      <c r="A112" s="401">
        <f>'F 4'!A111</f>
        <v>101</v>
      </c>
      <c r="B112" s="407" t="str">
        <f>'F 4'!B111</f>
        <v>7.2.2</v>
      </c>
      <c r="C112" s="130"/>
      <c r="D112" s="123"/>
      <c r="E112" s="403">
        <f>(C112+D112)/2</f>
        <v>0</v>
      </c>
      <c r="F112" s="281">
        <f>'F 4'!D111</f>
        <v>0</v>
      </c>
      <c r="G112" s="406"/>
      <c r="H112" s="98"/>
      <c r="I112" s="408">
        <f>'F 1'!E113</f>
        <v>1.5384615384615385</v>
      </c>
      <c r="J112" s="408">
        <f t="shared" si="3"/>
        <v>0</v>
      </c>
      <c r="K112" s="408">
        <f>'F 1'!F113</f>
        <v>2</v>
      </c>
    </row>
    <row r="113" spans="1:11" s="29" customFormat="1" ht="15.75" thickBot="1">
      <c r="A113" s="401">
        <f>'F 4'!A112</f>
        <v>102</v>
      </c>
      <c r="B113" s="407" t="str">
        <f>'F 4'!B112</f>
        <v>7.3.1</v>
      </c>
      <c r="C113" s="130"/>
      <c r="D113" s="123"/>
      <c r="E113" s="403">
        <f>(C113+D113)/2</f>
        <v>0</v>
      </c>
      <c r="F113" s="281">
        <f>'F 4'!D112</f>
        <v>0</v>
      </c>
      <c r="G113" s="406"/>
      <c r="H113" s="98"/>
      <c r="I113" s="408">
        <f>'F 1'!E114</f>
        <v>1.5384615384615385</v>
      </c>
      <c r="J113" s="408">
        <f t="shared" si="3"/>
        <v>0</v>
      </c>
      <c r="K113" s="408">
        <f>'F 1'!F114</f>
        <v>3</v>
      </c>
    </row>
    <row r="114" spans="1:11" s="29" customFormat="1" ht="15.75" thickBot="1">
      <c r="A114" s="401">
        <f>'F 4'!A113</f>
        <v>103</v>
      </c>
      <c r="B114" s="407" t="str">
        <f>'F 4'!B113</f>
        <v>7.3.2</v>
      </c>
      <c r="C114" s="130"/>
      <c r="D114" s="123"/>
      <c r="E114" s="403">
        <f>(C114+D114)/2</f>
        <v>0</v>
      </c>
      <c r="F114" s="281">
        <f>'F 4'!D113</f>
        <v>0</v>
      </c>
      <c r="G114" s="406"/>
      <c r="H114" s="98"/>
      <c r="I114" s="408">
        <f>'F 1'!E115</f>
        <v>0.7692307692307693</v>
      </c>
      <c r="J114" s="408">
        <f t="shared" si="3"/>
        <v>0</v>
      </c>
      <c r="K114" s="408">
        <f>'F 1'!F115</f>
        <v>2</v>
      </c>
    </row>
    <row r="115" spans="1:11" ht="15">
      <c r="A115" s="578" t="s">
        <v>95</v>
      </c>
      <c r="B115" s="579"/>
      <c r="C115" s="580"/>
      <c r="D115" s="102"/>
      <c r="E115" s="101"/>
      <c r="F115" s="98"/>
      <c r="G115" s="98"/>
      <c r="H115" s="98"/>
      <c r="I115" s="101"/>
      <c r="J115" s="98"/>
      <c r="K115" s="98"/>
    </row>
    <row r="116" spans="1:11" ht="15.75">
      <c r="A116" s="114"/>
      <c r="B116" s="98"/>
      <c r="C116" s="101"/>
      <c r="D116" s="102"/>
      <c r="E116" s="101"/>
      <c r="F116" s="98"/>
      <c r="G116" s="98"/>
      <c r="H116" s="98"/>
      <c r="I116" s="101"/>
      <c r="J116" s="98"/>
      <c r="K116" s="98"/>
    </row>
    <row r="117" spans="1:11" ht="15.75">
      <c r="A117" s="98"/>
      <c r="B117" s="98"/>
      <c r="C117" s="101"/>
      <c r="D117" s="102"/>
      <c r="E117" s="101"/>
      <c r="F117" s="98" t="str">
        <f>'F 4'!D119</f>
        <v>..........., .... - .... - 2010</v>
      </c>
      <c r="G117" s="284"/>
      <c r="H117" s="198"/>
      <c r="I117" s="198"/>
      <c r="J117" s="98"/>
      <c r="K117" s="98"/>
    </row>
    <row r="118" spans="1:11" ht="15.75">
      <c r="A118" s="115"/>
      <c r="B118" s="98"/>
      <c r="C118" s="101"/>
      <c r="D118" s="102"/>
      <c r="E118" s="101"/>
      <c r="F118" s="98"/>
      <c r="G118" s="98"/>
      <c r="H118" s="98"/>
      <c r="I118" s="101"/>
      <c r="J118" s="98"/>
      <c r="K118" s="98"/>
    </row>
    <row r="119" spans="1:11" ht="15.75">
      <c r="A119" s="115"/>
      <c r="B119" s="98"/>
      <c r="C119" s="101"/>
      <c r="D119" s="102"/>
      <c r="E119" s="101"/>
      <c r="F119" s="98"/>
      <c r="G119" s="98"/>
      <c r="H119" s="98"/>
      <c r="I119" s="101"/>
      <c r="J119" s="98"/>
      <c r="K119" s="98"/>
    </row>
    <row r="120" spans="1:11" ht="15" customHeight="1">
      <c r="A120" s="399" t="s">
        <v>125</v>
      </c>
      <c r="B120" s="140"/>
      <c r="C120" s="140"/>
      <c r="D120" s="102"/>
      <c r="E120" s="101"/>
      <c r="F120" s="140" t="s">
        <v>126</v>
      </c>
      <c r="G120" s="98"/>
      <c r="H120" s="98"/>
      <c r="I120" s="101"/>
      <c r="J120" s="98"/>
      <c r="K120" s="98"/>
    </row>
    <row r="121" spans="1:11" ht="15">
      <c r="A121" s="140"/>
      <c r="B121" s="140"/>
      <c r="C121" s="140"/>
      <c r="D121" s="102"/>
      <c r="E121" s="101"/>
      <c r="F121" s="140"/>
      <c r="G121" s="98"/>
      <c r="H121" s="98"/>
      <c r="I121" s="101"/>
      <c r="J121" s="98"/>
      <c r="K121" s="98"/>
    </row>
    <row r="122" spans="1:11" ht="15">
      <c r="A122" s="140"/>
      <c r="B122" s="140"/>
      <c r="C122" s="140"/>
      <c r="D122" s="102"/>
      <c r="E122" s="101"/>
      <c r="F122" s="140"/>
      <c r="G122" s="98"/>
      <c r="H122" s="98"/>
      <c r="I122" s="101"/>
      <c r="J122" s="98"/>
      <c r="K122" s="98"/>
    </row>
    <row r="123" spans="1:11" ht="30" customHeight="1">
      <c r="A123" s="399" t="s">
        <v>64</v>
      </c>
      <c r="B123" s="140"/>
      <c r="C123" s="140"/>
      <c r="D123" s="102"/>
      <c r="E123" s="101"/>
      <c r="F123" s="140" t="s">
        <v>64</v>
      </c>
      <c r="G123" s="98"/>
      <c r="H123" s="98"/>
      <c r="I123" s="101"/>
      <c r="J123" s="98"/>
      <c r="K123" s="98"/>
    </row>
    <row r="124" spans="1:6" ht="15">
      <c r="A124" s="268"/>
      <c r="B124" s="268"/>
      <c r="C124" s="268"/>
      <c r="E124" s="268"/>
      <c r="F124" s="269"/>
    </row>
    <row r="125" ht="15.75">
      <c r="A125" s="2"/>
    </row>
    <row r="126" ht="15.75">
      <c r="A126" s="2"/>
    </row>
  </sheetData>
  <sheetProtection selectLockedCells="1"/>
  <mergeCells count="8">
    <mergeCell ref="K9:K11"/>
    <mergeCell ref="I9:J11"/>
    <mergeCell ref="A115:C115"/>
    <mergeCell ref="A9:A11"/>
    <mergeCell ref="B9:B11"/>
    <mergeCell ref="F9:F11"/>
    <mergeCell ref="G9:G11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8">
      <selection activeCell="E26" sqref="E26"/>
    </sheetView>
  </sheetViews>
  <sheetFormatPr defaultColWidth="9.140625" defaultRowHeight="15"/>
  <cols>
    <col min="1" max="1" width="5.8515625" style="0" customWidth="1"/>
    <col min="2" max="2" width="20.140625" style="0" customWidth="1"/>
    <col min="3" max="4" width="6.8515625" style="10" customWidth="1"/>
    <col min="5" max="5" width="7.140625" style="48" customWidth="1"/>
    <col min="6" max="6" width="25.140625" style="0" customWidth="1"/>
    <col min="7" max="7" width="15.140625" style="0" customWidth="1"/>
    <col min="8" max="8" width="2.140625" style="0" customWidth="1"/>
    <col min="9" max="9" width="5.57421875" style="0" customWidth="1"/>
    <col min="10" max="10" width="6.8515625" style="0" customWidth="1"/>
    <col min="11" max="11" width="10.00390625" style="0" customWidth="1"/>
  </cols>
  <sheetData>
    <row r="1" spans="1:7" ht="15.75">
      <c r="A1" s="396" t="s">
        <v>646</v>
      </c>
      <c r="B1" s="98"/>
      <c r="C1" s="102"/>
      <c r="D1" s="102"/>
      <c r="E1" s="409"/>
      <c r="F1" s="98"/>
      <c r="G1" s="98"/>
    </row>
    <row r="2" spans="1:7" ht="15.75">
      <c r="A2" s="122"/>
      <c r="B2" s="98"/>
      <c r="C2" s="102"/>
      <c r="D2" s="102"/>
      <c r="E2" s="409"/>
      <c r="F2" s="98"/>
      <c r="G2" s="98"/>
    </row>
    <row r="3" spans="1:7" ht="15.75">
      <c r="A3" s="440" t="s">
        <v>66</v>
      </c>
      <c r="B3" s="440"/>
      <c r="C3" s="440"/>
      <c r="D3" s="410" t="str">
        <f>'F2'!D5</f>
        <v>: ...</v>
      </c>
      <c r="E3" s="409"/>
      <c r="F3" s="98"/>
      <c r="G3" s="98"/>
    </row>
    <row r="4" spans="1:7" ht="15.75">
      <c r="A4" s="440" t="s">
        <v>67</v>
      </c>
      <c r="B4" s="440"/>
      <c r="C4" s="440"/>
      <c r="D4" s="410" t="str">
        <f>'F2'!D6</f>
        <v>: ...</v>
      </c>
      <c r="E4" s="409"/>
      <c r="F4" s="98"/>
      <c r="G4" s="98"/>
    </row>
    <row r="5" spans="1:7" ht="15.75">
      <c r="A5" s="440" t="s">
        <v>68</v>
      </c>
      <c r="B5" s="440"/>
      <c r="C5" s="440"/>
      <c r="D5" s="410" t="str">
        <f>'F2'!D7</f>
        <v>: ...</v>
      </c>
      <c r="E5" s="409"/>
      <c r="F5" s="98"/>
      <c r="G5" s="98"/>
    </row>
    <row r="6" spans="1:7" ht="15.75">
      <c r="A6" s="440"/>
      <c r="B6" s="440"/>
      <c r="C6" s="440"/>
      <c r="D6" s="106"/>
      <c r="E6" s="409"/>
      <c r="F6" s="98"/>
      <c r="G6" s="98"/>
    </row>
    <row r="7" spans="1:16" ht="15.75">
      <c r="A7" s="284" t="s">
        <v>127</v>
      </c>
      <c r="B7" s="198"/>
      <c r="C7" s="198"/>
      <c r="D7" s="198"/>
      <c r="E7" s="198"/>
      <c r="F7" s="198"/>
      <c r="G7" s="198"/>
      <c r="H7" s="269"/>
      <c r="I7" s="269"/>
      <c r="J7" s="269"/>
      <c r="K7" s="269"/>
      <c r="L7" s="269"/>
      <c r="M7" s="269"/>
      <c r="N7" s="269"/>
      <c r="O7" s="269"/>
      <c r="P7" s="269"/>
    </row>
    <row r="8" spans="1:9" ht="16.5" thickBot="1">
      <c r="A8" s="284" t="s">
        <v>128</v>
      </c>
      <c r="B8" s="198"/>
      <c r="C8" s="198"/>
      <c r="D8" s="198"/>
      <c r="E8" s="198"/>
      <c r="F8" s="198"/>
      <c r="G8" s="198"/>
      <c r="H8" s="269"/>
      <c r="I8" s="269"/>
    </row>
    <row r="9" spans="1:7" ht="30" customHeight="1" thickBot="1">
      <c r="A9" s="581" t="s">
        <v>1</v>
      </c>
      <c r="B9" s="581" t="s">
        <v>3</v>
      </c>
      <c r="C9" s="586" t="s">
        <v>71</v>
      </c>
      <c r="D9" s="587"/>
      <c r="E9" s="588"/>
      <c r="F9" s="581" t="s">
        <v>129</v>
      </c>
      <c r="G9" s="581" t="s">
        <v>124</v>
      </c>
    </row>
    <row r="10" spans="1:11" ht="51" customHeight="1" thickBot="1">
      <c r="A10" s="583"/>
      <c r="B10" s="583"/>
      <c r="C10" s="411" t="s">
        <v>72</v>
      </c>
      <c r="D10" s="411" t="s">
        <v>73</v>
      </c>
      <c r="E10" s="411" t="s">
        <v>74</v>
      </c>
      <c r="F10" s="583"/>
      <c r="G10" s="583"/>
      <c r="I10" s="585" t="s">
        <v>194</v>
      </c>
      <c r="J10" s="585"/>
      <c r="K10" s="62" t="s">
        <v>198</v>
      </c>
    </row>
    <row r="11" spans="1:11" ht="109.5" customHeight="1" thickBot="1">
      <c r="A11" s="124">
        <v>1</v>
      </c>
      <c r="B11" s="412" t="s">
        <v>75</v>
      </c>
      <c r="C11" s="126"/>
      <c r="D11" s="126"/>
      <c r="E11" s="413"/>
      <c r="F11" s="414"/>
      <c r="G11" s="414"/>
      <c r="I11" s="51"/>
      <c r="J11" s="51"/>
      <c r="K11" s="51"/>
    </row>
    <row r="12" spans="1:11" ht="158.25" thickBot="1">
      <c r="A12" s="128" t="s">
        <v>76</v>
      </c>
      <c r="B12" s="415" t="s">
        <v>77</v>
      </c>
      <c r="C12" s="123"/>
      <c r="D12" s="123"/>
      <c r="E12" s="123">
        <v>4</v>
      </c>
      <c r="F12" s="406" t="str">
        <f>'F2'!E14</f>
        <v>Lalala</v>
      </c>
      <c r="G12" s="406"/>
      <c r="I12" s="383">
        <f>'F2'!C14</f>
        <v>12.5</v>
      </c>
      <c r="J12" s="383">
        <f>E12*I12</f>
        <v>50</v>
      </c>
      <c r="K12" s="383">
        <f>'F2'!D14</f>
        <v>4</v>
      </c>
    </row>
    <row r="13" spans="1:11" ht="129.75" customHeight="1" thickBot="1">
      <c r="A13" s="130" t="s">
        <v>78</v>
      </c>
      <c r="B13" s="416" t="s">
        <v>79</v>
      </c>
      <c r="C13" s="132"/>
      <c r="D13" s="132"/>
      <c r="E13" s="132">
        <v>2</v>
      </c>
      <c r="F13" s="417" t="str">
        <f>'F2'!E15</f>
        <v>Lalala</v>
      </c>
      <c r="G13" s="417"/>
      <c r="I13" s="383">
        <f>'F2'!C15</f>
        <v>12.5</v>
      </c>
      <c r="J13" s="383">
        <f aca="true" t="shared" si="0" ref="J13:J25">E13*I13</f>
        <v>25</v>
      </c>
      <c r="K13" s="383">
        <f>'F2'!D15</f>
        <v>2</v>
      </c>
    </row>
    <row r="14" spans="1:11" ht="96" customHeight="1" thickBot="1">
      <c r="A14" s="135">
        <v>2</v>
      </c>
      <c r="B14" s="418" t="s">
        <v>80</v>
      </c>
      <c r="C14" s="419"/>
      <c r="D14" s="419"/>
      <c r="E14" s="419"/>
      <c r="F14" s="420"/>
      <c r="G14" s="420"/>
      <c r="I14" s="383"/>
      <c r="J14" s="383"/>
      <c r="K14" s="383"/>
    </row>
    <row r="15" spans="1:11" ht="80.25" customHeight="1" thickBot="1">
      <c r="A15" s="109" t="s">
        <v>76</v>
      </c>
      <c r="B15" s="131" t="s">
        <v>81</v>
      </c>
      <c r="C15" s="132"/>
      <c r="D15" s="132"/>
      <c r="E15" s="132">
        <v>3</v>
      </c>
      <c r="F15" s="417" t="str">
        <f>'F2'!E17</f>
        <v>Lalala</v>
      </c>
      <c r="G15" s="109"/>
      <c r="I15" s="383">
        <f>'F2'!C17</f>
        <v>7.5</v>
      </c>
      <c r="J15" s="383">
        <f t="shared" si="0"/>
        <v>22.5</v>
      </c>
      <c r="K15" s="383">
        <f>'F2'!D17</f>
        <v>3</v>
      </c>
    </row>
    <row r="16" spans="1:11" ht="99" customHeight="1" thickBot="1">
      <c r="A16" s="130" t="s">
        <v>78</v>
      </c>
      <c r="B16" s="416" t="s">
        <v>82</v>
      </c>
      <c r="C16" s="132"/>
      <c r="D16" s="132"/>
      <c r="E16" s="132">
        <v>3</v>
      </c>
      <c r="F16" s="417" t="str">
        <f>'F2'!E18</f>
        <v>Lalala</v>
      </c>
      <c r="G16" s="417"/>
      <c r="I16" s="383">
        <f>'F2'!C18</f>
        <v>7.5</v>
      </c>
      <c r="J16" s="383">
        <f t="shared" si="0"/>
        <v>22.5</v>
      </c>
      <c r="K16" s="383">
        <f>'F2'!D18</f>
        <v>3</v>
      </c>
    </row>
    <row r="17" spans="1:11" ht="52.5" customHeight="1" thickBot="1">
      <c r="A17" s="130" t="s">
        <v>83</v>
      </c>
      <c r="B17" s="131" t="s">
        <v>84</v>
      </c>
      <c r="C17" s="132"/>
      <c r="D17" s="132"/>
      <c r="E17" s="132">
        <v>3</v>
      </c>
      <c r="F17" s="417" t="str">
        <f>'F2'!E19</f>
        <v>Lalala</v>
      </c>
      <c r="G17" s="109"/>
      <c r="I17" s="383">
        <f>'F2'!C19</f>
        <v>7.5</v>
      </c>
      <c r="J17" s="383">
        <f t="shared" si="0"/>
        <v>22.5</v>
      </c>
      <c r="K17" s="383">
        <f>'F2'!D19</f>
        <v>3</v>
      </c>
    </row>
    <row r="18" spans="1:11" ht="102.75" customHeight="1" thickBot="1">
      <c r="A18" s="130" t="s">
        <v>85</v>
      </c>
      <c r="B18" s="416" t="s">
        <v>86</v>
      </c>
      <c r="C18" s="132"/>
      <c r="D18" s="132"/>
      <c r="E18" s="132">
        <v>3</v>
      </c>
      <c r="F18" s="417" t="str">
        <f>'F2'!E20</f>
        <v>Lalala</v>
      </c>
      <c r="G18" s="417"/>
      <c r="I18" s="383">
        <f>'F2'!C20</f>
        <v>7.5</v>
      </c>
      <c r="J18" s="383">
        <f t="shared" si="0"/>
        <v>22.5</v>
      </c>
      <c r="K18" s="383">
        <f>'F2'!D20</f>
        <v>3</v>
      </c>
    </row>
    <row r="19" spans="1:11" ht="39" customHeight="1" thickBot="1">
      <c r="A19" s="135">
        <v>3</v>
      </c>
      <c r="B19" s="418" t="s">
        <v>87</v>
      </c>
      <c r="C19" s="419"/>
      <c r="D19" s="419"/>
      <c r="E19" s="419"/>
      <c r="F19" s="420"/>
      <c r="G19" s="420"/>
      <c r="I19" s="383"/>
      <c r="J19" s="383"/>
      <c r="K19" s="383"/>
    </row>
    <row r="20" spans="1:11" ht="67.5" customHeight="1" thickBot="1">
      <c r="A20" s="109" t="s">
        <v>76</v>
      </c>
      <c r="B20" s="131" t="s">
        <v>88</v>
      </c>
      <c r="C20" s="132"/>
      <c r="D20" s="132"/>
      <c r="E20" s="421">
        <v>4</v>
      </c>
      <c r="F20" s="417" t="str">
        <f>'F2'!E22</f>
        <v>Lalala</v>
      </c>
      <c r="G20" s="109"/>
      <c r="I20" s="383">
        <f>'F2'!C22</f>
        <v>10</v>
      </c>
      <c r="J20" s="383">
        <f t="shared" si="0"/>
        <v>40</v>
      </c>
      <c r="K20" s="383">
        <f>'F2'!D22</f>
        <v>4</v>
      </c>
    </row>
    <row r="21" spans="1:11" ht="126" customHeight="1" thickBot="1">
      <c r="A21" s="109" t="s">
        <v>78</v>
      </c>
      <c r="B21" s="131" t="s">
        <v>89</v>
      </c>
      <c r="C21" s="132"/>
      <c r="D21" s="132"/>
      <c r="E21" s="421">
        <v>4</v>
      </c>
      <c r="F21" s="417" t="str">
        <f>'F2'!E23</f>
        <v>Lalala</v>
      </c>
      <c r="G21" s="109"/>
      <c r="I21" s="383">
        <f>'F2'!C23</f>
        <v>5</v>
      </c>
      <c r="J21" s="383">
        <f t="shared" si="0"/>
        <v>20</v>
      </c>
      <c r="K21" s="383">
        <f>'F2'!D23</f>
        <v>4</v>
      </c>
    </row>
    <row r="22" spans="1:11" ht="141.75" customHeight="1" thickBot="1">
      <c r="A22" s="109" t="s">
        <v>83</v>
      </c>
      <c r="B22" s="131" t="s">
        <v>90</v>
      </c>
      <c r="C22" s="132"/>
      <c r="D22" s="132"/>
      <c r="E22" s="421">
        <v>4</v>
      </c>
      <c r="F22" s="417" t="str">
        <f>'F2'!E24</f>
        <v>Lalala</v>
      </c>
      <c r="G22" s="109"/>
      <c r="I22" s="383">
        <f>'F2'!C24</f>
        <v>5</v>
      </c>
      <c r="J22" s="383">
        <f t="shared" si="0"/>
        <v>20</v>
      </c>
      <c r="K22" s="383">
        <f>'F2'!D24</f>
        <v>4</v>
      </c>
    </row>
    <row r="23" spans="1:11" ht="51.75" customHeight="1" thickBot="1">
      <c r="A23" s="135">
        <v>4</v>
      </c>
      <c r="B23" s="418" t="s">
        <v>91</v>
      </c>
      <c r="C23" s="419"/>
      <c r="D23" s="419"/>
      <c r="E23" s="419"/>
      <c r="F23" s="420"/>
      <c r="G23" s="420"/>
      <c r="I23" s="383"/>
      <c r="J23" s="383"/>
      <c r="K23" s="383">
        <f>'F2'!D25</f>
        <v>0</v>
      </c>
    </row>
    <row r="24" spans="1:11" ht="48" customHeight="1" thickBot="1">
      <c r="A24" s="109" t="s">
        <v>76</v>
      </c>
      <c r="B24" s="131" t="s">
        <v>92</v>
      </c>
      <c r="C24" s="132"/>
      <c r="D24" s="132"/>
      <c r="E24" s="132">
        <v>3</v>
      </c>
      <c r="F24" s="417" t="str">
        <f>'F2'!E26</f>
        <v>Lalala</v>
      </c>
      <c r="G24" s="109"/>
      <c r="I24" s="383">
        <f>'F2'!C26</f>
        <v>12.5</v>
      </c>
      <c r="J24" s="383">
        <f t="shared" si="0"/>
        <v>37.5</v>
      </c>
      <c r="K24" s="383">
        <f>'F2'!D26</f>
        <v>3</v>
      </c>
    </row>
    <row r="25" spans="1:11" ht="95.25" customHeight="1" thickBot="1">
      <c r="A25" s="109" t="s">
        <v>78</v>
      </c>
      <c r="B25" s="131" t="s">
        <v>93</v>
      </c>
      <c r="C25" s="132"/>
      <c r="D25" s="132"/>
      <c r="E25" s="132">
        <v>3</v>
      </c>
      <c r="F25" s="417" t="str">
        <f>'F2'!E27</f>
        <v>Lalala</v>
      </c>
      <c r="G25" s="109"/>
      <c r="I25" s="383">
        <f>'F2'!C27</f>
        <v>12.5</v>
      </c>
      <c r="J25" s="383">
        <f t="shared" si="0"/>
        <v>37.5</v>
      </c>
      <c r="K25" s="383">
        <f>'F2'!D27</f>
        <v>3</v>
      </c>
    </row>
    <row r="26" spans="1:11" ht="15.75" customHeight="1" thickBot="1">
      <c r="A26" s="422" t="s">
        <v>94</v>
      </c>
      <c r="B26" s="109"/>
      <c r="C26" s="132"/>
      <c r="D26" s="132"/>
      <c r="E26" s="132"/>
      <c r="F26" s="423"/>
      <c r="G26" s="423"/>
      <c r="I26" s="29"/>
      <c r="J26" s="29"/>
      <c r="K26" s="29"/>
    </row>
    <row r="27" spans="1:7" ht="15">
      <c r="A27" s="98"/>
      <c r="B27" s="98"/>
      <c r="C27" s="102"/>
      <c r="D27" s="102"/>
      <c r="E27" s="409"/>
      <c r="F27" s="98"/>
      <c r="G27" s="98"/>
    </row>
    <row r="28" spans="1:7" ht="15.75" customHeight="1">
      <c r="A28" s="114" t="s">
        <v>95</v>
      </c>
      <c r="B28" s="98"/>
      <c r="C28" s="102"/>
      <c r="D28" s="102"/>
      <c r="E28" s="409"/>
      <c r="F28" s="98"/>
      <c r="G28" s="98"/>
    </row>
    <row r="29" spans="1:7" ht="15.75">
      <c r="A29" s="115"/>
      <c r="B29" s="98"/>
      <c r="C29" s="102"/>
      <c r="D29" s="102"/>
      <c r="E29" s="409"/>
      <c r="F29" s="98" t="str">
        <f>'F6'!F117</f>
        <v>..........., .... - .... - 2010</v>
      </c>
      <c r="G29" s="98"/>
    </row>
    <row r="30" spans="1:9" ht="15.75" customHeight="1">
      <c r="A30" s="98"/>
      <c r="B30" s="98"/>
      <c r="C30" s="102"/>
      <c r="D30" s="102"/>
      <c r="E30" s="409"/>
      <c r="F30" s="98"/>
      <c r="G30" s="284"/>
      <c r="H30" s="65"/>
      <c r="I30" s="65"/>
    </row>
    <row r="31" spans="1:7" ht="15.75">
      <c r="A31" s="115"/>
      <c r="B31" s="98"/>
      <c r="C31" s="102"/>
      <c r="D31" s="102"/>
      <c r="E31" s="409"/>
      <c r="F31" s="98"/>
      <c r="G31" s="98"/>
    </row>
    <row r="32" spans="1:7" ht="15.75">
      <c r="A32" s="115"/>
      <c r="B32" s="98"/>
      <c r="C32" s="102"/>
      <c r="D32" s="102"/>
      <c r="E32" s="409"/>
      <c r="F32" s="98"/>
      <c r="G32" s="98"/>
    </row>
    <row r="33" spans="1:7" ht="15" customHeight="1">
      <c r="A33" s="399" t="s">
        <v>125</v>
      </c>
      <c r="B33" s="424"/>
      <c r="C33" s="117"/>
      <c r="D33" s="399" t="s">
        <v>126</v>
      </c>
      <c r="E33" s="140"/>
      <c r="F33" s="98"/>
      <c r="G33" s="98"/>
    </row>
    <row r="34" spans="1:7" ht="15.75" customHeight="1">
      <c r="A34" s="140"/>
      <c r="B34" s="424"/>
      <c r="C34" s="117"/>
      <c r="D34" s="140"/>
      <c r="E34" s="140"/>
      <c r="F34" s="98"/>
      <c r="G34" s="98"/>
    </row>
    <row r="35" spans="1:7" ht="15">
      <c r="A35" s="140"/>
      <c r="B35" s="424"/>
      <c r="C35" s="117"/>
      <c r="D35" s="140"/>
      <c r="E35" s="140"/>
      <c r="F35" s="98"/>
      <c r="G35" s="98"/>
    </row>
    <row r="36" spans="1:7" ht="15" customHeight="1">
      <c r="A36" s="399" t="s">
        <v>64</v>
      </c>
      <c r="B36" s="140"/>
      <c r="C36" s="117"/>
      <c r="D36" s="399" t="s">
        <v>64</v>
      </c>
      <c r="E36" s="140"/>
      <c r="F36" s="98"/>
      <c r="G36" s="98"/>
    </row>
    <row r="37" spans="1:7" ht="15.75" customHeight="1">
      <c r="A37" s="140"/>
      <c r="B37" s="140"/>
      <c r="C37" s="117"/>
      <c r="D37" s="140"/>
      <c r="E37" s="140"/>
      <c r="F37" s="98"/>
      <c r="G37" s="98"/>
    </row>
    <row r="38" spans="1:7" ht="15" customHeight="1">
      <c r="A38" s="17"/>
      <c r="B38" s="17"/>
      <c r="C38" s="18"/>
      <c r="D38" s="18"/>
      <c r="E38" s="56"/>
      <c r="F38" s="17"/>
      <c r="G38" s="17"/>
    </row>
    <row r="39" spans="1:5" ht="15.75" customHeight="1">
      <c r="A39" s="17"/>
      <c r="B39" s="25"/>
      <c r="C39" s="28"/>
      <c r="D39" s="28"/>
      <c r="E39" s="35"/>
    </row>
    <row r="40" spans="1:5" ht="15.75" customHeight="1">
      <c r="A40" s="15"/>
      <c r="B40" s="15"/>
      <c r="C40" s="28"/>
      <c r="D40" s="28"/>
      <c r="E40" s="35"/>
    </row>
    <row r="46" ht="15" customHeight="1"/>
    <row r="49" ht="30" customHeight="1"/>
    <row r="51" ht="15.75">
      <c r="A51" s="2"/>
    </row>
    <row r="53" ht="15.75">
      <c r="A53" s="24"/>
    </row>
  </sheetData>
  <sheetProtection formatCells="0" formatColumns="0" formatRows="0" selectLockedCells="1"/>
  <mergeCells count="10">
    <mergeCell ref="F9:F10"/>
    <mergeCell ref="G9:G10"/>
    <mergeCell ref="I10:J10"/>
    <mergeCell ref="A3:C3"/>
    <mergeCell ref="A4:C4"/>
    <mergeCell ref="A5:C5"/>
    <mergeCell ref="A6:C6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Radon Dhelika</dc:creator>
  <cp:keywords/>
  <dc:description/>
  <cp:lastModifiedBy>Muchamad Syafruddin</cp:lastModifiedBy>
  <cp:lastPrinted>2010-05-14T17:56:14Z</cp:lastPrinted>
  <dcterms:created xsi:type="dcterms:W3CDTF">2009-07-06T01:37:37Z</dcterms:created>
  <dcterms:modified xsi:type="dcterms:W3CDTF">2011-11-22T04:54:52Z</dcterms:modified>
  <cp:category/>
  <cp:version/>
  <cp:contentType/>
  <cp:contentStatus/>
</cp:coreProperties>
</file>