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5600" windowHeight="7755" tabRatio="689" activeTab="2"/>
  </bookViews>
  <sheets>
    <sheet name="Menu" sheetId="14" r:id="rId1"/>
    <sheet name="F1" sheetId="1" r:id="rId2"/>
    <sheet name="hitung_F1" sheetId="11" r:id="rId3"/>
    <sheet name="F2" sheetId="3" r:id="rId4"/>
    <sheet name="hitung_F2" sheetId="12" r:id="rId5"/>
    <sheet name="F3" sheetId="4" r:id="rId6"/>
    <sheet name="F4" sheetId="6" r:id="rId7"/>
    <sheet name="F5" sheetId="7" r:id="rId8"/>
    <sheet name="F6" sheetId="9" r:id="rId9"/>
    <sheet name="nilai_akhir" sheetId="10" r:id="rId10"/>
    <sheet name="REKAP AK Terbobot" sheetId="15" r:id="rId11"/>
  </sheets>
  <externalReferences>
    <externalReference r:id="rId12"/>
  </externalReferences>
  <definedNames>
    <definedName name="diploma">#REF!</definedName>
    <definedName name="_xlnm.Print_Area" localSheetId="1">'F1'!$A$1:$F$120</definedName>
    <definedName name="_xlnm.Print_Area" localSheetId="3">'F2'!$A$1:$E$32</definedName>
    <definedName name="_xlnm.Print_Area" localSheetId="5">'F3'!$A$1:$E$120</definedName>
    <definedName name="_xlnm.Print_Area" localSheetId="6">'F4'!$A$1:$K$125</definedName>
    <definedName name="_xlnm.Print_Area" localSheetId="7">'F5'!$A$1:$J$32</definedName>
    <definedName name="_xlnm.Print_Area" localSheetId="8">'F6'!$A$1:$I$116</definedName>
    <definedName name="_xlnm.Print_Area" localSheetId="10">'REKAP AK Terbobot'!$A$1:$D$47</definedName>
    <definedName name="_xlnm.Print_Titles" localSheetId="1">'F1'!$11:$11</definedName>
    <definedName name="_xlnm.Print_Titles" localSheetId="3">'F2'!$8:$8</definedName>
    <definedName name="_xlnm.Print_Titles" localSheetId="5">'F3'!$5:$5</definedName>
    <definedName name="_xlnm.Print_Titles" localSheetId="6">'F4'!$8:$10</definedName>
    <definedName name="_xlnm.Print_Titles" localSheetId="7">'F5'!$7:$8</definedName>
  </definedNames>
  <calcPr calcId="124519"/>
</workbook>
</file>

<file path=xl/calcChain.xml><?xml version="1.0" encoding="utf-8"?>
<calcChain xmlns="http://schemas.openxmlformats.org/spreadsheetml/2006/main">
  <c r="C43" i="15"/>
  <c r="B6"/>
  <c r="B5"/>
  <c r="B4"/>
  <c r="B3"/>
  <c r="B39"/>
  <c r="G577" i="11"/>
  <c r="D81" i="1" s="1"/>
  <c r="G573" i="11"/>
  <c r="D80" i="1" s="1"/>
  <c r="G569" i="11"/>
  <c r="D79" i="1" s="1"/>
  <c r="D63"/>
  <c r="G457" i="11"/>
  <c r="D60" i="1"/>
  <c r="G436" i="11"/>
  <c r="D58" i="1"/>
  <c r="G422" i="11"/>
  <c r="D57" i="1"/>
  <c r="G416" i="11"/>
  <c r="D37" i="1"/>
  <c r="G183" i="11"/>
  <c r="E184"/>
  <c r="D36" i="1"/>
  <c r="G177" i="11"/>
  <c r="E178"/>
  <c r="D35" i="1"/>
  <c r="G171" i="11"/>
  <c r="G167"/>
  <c r="D34" i="1" s="1"/>
  <c r="H27" i="7" l="1"/>
  <c r="H23"/>
  <c r="H22"/>
  <c r="H20"/>
  <c r="H19"/>
  <c r="H18"/>
  <c r="H16"/>
  <c r="H15"/>
  <c r="H14"/>
  <c r="H13"/>
  <c r="H11"/>
  <c r="H10"/>
  <c r="I111" i="6"/>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E300" i="11" l="1"/>
  <c r="J111" i="6"/>
  <c r="B106" i="4"/>
  <c r="A106"/>
  <c r="E350" i="11"/>
  <c r="E340"/>
  <c r="E330"/>
  <c r="E320"/>
  <c r="E310"/>
  <c r="E290"/>
  <c r="E371"/>
  <c r="G368" s="1"/>
  <c r="D50" i="1" s="1"/>
  <c r="E174" i="11" l="1"/>
  <c r="E169"/>
  <c r="E39"/>
  <c r="E758"/>
  <c r="E694"/>
  <c r="E264"/>
  <c r="D49" i="1"/>
  <c r="D29"/>
  <c r="E126" i="11"/>
  <c r="E118"/>
  <c r="E103"/>
  <c r="E96"/>
  <c r="E46"/>
  <c r="E75"/>
  <c r="D3" i="9"/>
  <c r="L23" i="7"/>
  <c r="L22"/>
  <c r="L20"/>
  <c r="L19"/>
  <c r="L18"/>
  <c r="L16"/>
  <c r="L15"/>
  <c r="L14"/>
  <c r="L13"/>
  <c r="L11"/>
  <c r="L10"/>
  <c r="E5" i="10" l="1"/>
  <c r="K116"/>
  <c r="M110" i="6" l="1"/>
  <c r="N110" s="1"/>
  <c r="M111"/>
  <c r="N111" s="1"/>
  <c r="L116" i="10" s="1"/>
  <c r="B21" i="3"/>
  <c r="B18"/>
  <c r="B17"/>
  <c r="C13"/>
  <c r="B13"/>
  <c r="B12"/>
  <c r="B9"/>
  <c r="C10"/>
  <c r="B10"/>
  <c r="E25" i="12"/>
  <c r="B23" i="3"/>
  <c r="B22"/>
  <c r="B20"/>
  <c r="B19"/>
  <c r="B16"/>
  <c r="B15"/>
  <c r="B14"/>
  <c r="B11"/>
  <c r="E83" i="12"/>
  <c r="E76"/>
  <c r="E68"/>
  <c r="E61"/>
  <c r="E54"/>
  <c r="E46"/>
  <c r="E39"/>
  <c r="E32"/>
  <c r="E17"/>
  <c r="E10"/>
  <c r="C106" i="1"/>
  <c r="C108"/>
  <c r="C107"/>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G136" i="11"/>
  <c r="D30" i="1" s="1"/>
  <c r="C30"/>
  <c r="C29"/>
  <c r="C28"/>
  <c r="C27"/>
  <c r="C26"/>
  <c r="C25"/>
  <c r="C24"/>
  <c r="C23"/>
  <c r="C22"/>
  <c r="C21"/>
  <c r="C20"/>
  <c r="C19"/>
  <c r="C18"/>
  <c r="C109"/>
  <c r="C110"/>
  <c r="D110"/>
  <c r="C111"/>
  <c r="C112"/>
  <c r="D112"/>
  <c r="C106" i="4" s="1"/>
  <c r="E810" i="11"/>
  <c r="F112" i="1" s="1"/>
  <c r="E803" i="11"/>
  <c r="E796"/>
  <c r="E788"/>
  <c r="E780"/>
  <c r="E773"/>
  <c r="E764"/>
  <c r="E751"/>
  <c r="E425"/>
  <c r="E728"/>
  <c r="E715"/>
  <c r="E709"/>
  <c r="E702"/>
  <c r="E695"/>
  <c r="E687"/>
  <c r="E683"/>
  <c r="E676"/>
  <c r="E669"/>
  <c r="E662"/>
  <c r="E655"/>
  <c r="E648"/>
  <c r="E641"/>
  <c r="E632"/>
  <c r="E633" s="1"/>
  <c r="E624"/>
  <c r="E616"/>
  <c r="E609"/>
  <c r="E601"/>
  <c r="E594"/>
  <c r="E586"/>
  <c r="E579"/>
  <c r="E575"/>
  <c r="E571"/>
  <c r="E566"/>
  <c r="E561"/>
  <c r="E554"/>
  <c r="C17" i="1"/>
  <c r="C16"/>
  <c r="C15"/>
  <c r="C14"/>
  <c r="C13"/>
  <c r="C12"/>
  <c r="E567" i="11" l="1"/>
  <c r="G563"/>
  <c r="D78" i="1" s="1"/>
  <c r="E716" i="11"/>
  <c r="E717" s="1"/>
  <c r="E765"/>
  <c r="E766" s="1"/>
  <c r="E729"/>
  <c r="E730" s="1"/>
  <c r="F101" i="1" s="1"/>
  <c r="E734" i="11"/>
  <c r="F16" i="10"/>
  <c r="N10" i="7"/>
  <c r="F19" i="10"/>
  <c r="N14" i="7"/>
  <c r="F21" i="10"/>
  <c r="N16" i="7"/>
  <c r="F23" i="10"/>
  <c r="N19" i="7"/>
  <c r="F25" i="10"/>
  <c r="N22" i="7"/>
  <c r="F18" i="10"/>
  <c r="N13" i="7"/>
  <c r="F17" i="10"/>
  <c r="N11" i="7"/>
  <c r="F20" i="10"/>
  <c r="N15" i="7"/>
  <c r="F22" i="10"/>
  <c r="N18" i="7"/>
  <c r="F24" i="10"/>
  <c r="N20" i="7"/>
  <c r="F26" i="10"/>
  <c r="N23" i="7"/>
  <c r="O111" i="6"/>
  <c r="B116" i="10"/>
  <c r="H112" i="1"/>
  <c r="C116" i="10" s="1"/>
  <c r="E547" i="11"/>
  <c r="E539"/>
  <c r="E532"/>
  <c r="E525"/>
  <c r="E518"/>
  <c r="E511"/>
  <c r="E504"/>
  <c r="E497"/>
  <c r="E490"/>
  <c r="E483"/>
  <c r="E476"/>
  <c r="E469"/>
  <c r="E460"/>
  <c r="E461" s="1"/>
  <c r="E455"/>
  <c r="E448"/>
  <c r="E440"/>
  <c r="E441" s="1"/>
  <c r="E142"/>
  <c r="E426"/>
  <c r="E420"/>
  <c r="F417"/>
  <c r="E412"/>
  <c r="E408"/>
  <c r="D54" i="1"/>
  <c r="D52"/>
  <c r="E403" i="11"/>
  <c r="E395"/>
  <c r="E380"/>
  <c r="E387"/>
  <c r="E372"/>
  <c r="E366"/>
  <c r="G356"/>
  <c r="G354"/>
  <c r="G352"/>
  <c r="G346"/>
  <c r="G344"/>
  <c r="G342"/>
  <c r="G336"/>
  <c r="G334"/>
  <c r="G332"/>
  <c r="G326"/>
  <c r="G324"/>
  <c r="G322"/>
  <c r="G316"/>
  <c r="G314"/>
  <c r="G312"/>
  <c r="G306"/>
  <c r="G304"/>
  <c r="G302"/>
  <c r="G760" l="1"/>
  <c r="D106" i="1" s="1"/>
  <c r="G719" i="11"/>
  <c r="D101" i="1" s="1"/>
  <c r="E735" i="11"/>
  <c r="E736" s="1"/>
  <c r="E413"/>
  <c r="G411" s="1"/>
  <c r="D56" i="1" s="1"/>
  <c r="E409" i="11"/>
  <c r="G405"/>
  <c r="D55" i="1" s="1"/>
  <c r="G711" i="11"/>
  <c r="D100" i="1" s="1"/>
  <c r="G347" i="11"/>
  <c r="G357"/>
  <c r="E357" s="1"/>
  <c r="F357" s="1"/>
  <c r="E358"/>
  <c r="F358" s="1"/>
  <c r="G307"/>
  <c r="G327"/>
  <c r="G337"/>
  <c r="G317"/>
  <c r="E143"/>
  <c r="E742"/>
  <c r="E432"/>
  <c r="E414" l="1"/>
  <c r="F56" i="1" s="1"/>
  <c r="G732" i="11"/>
  <c r="D102" i="1" s="1"/>
  <c r="C96" i="4" s="1"/>
  <c r="E743" i="11"/>
  <c r="E744" s="1"/>
  <c r="F103" i="1" s="1"/>
  <c r="E433" i="11"/>
  <c r="E434" s="1"/>
  <c r="E307"/>
  <c r="F307" s="1"/>
  <c r="E308"/>
  <c r="F308" s="1"/>
  <c r="E317"/>
  <c r="F317" s="1"/>
  <c r="E318"/>
  <c r="F318" s="1"/>
  <c r="E348"/>
  <c r="F348" s="1"/>
  <c r="E347"/>
  <c r="F347" s="1"/>
  <c r="E337"/>
  <c r="F337" s="1"/>
  <c r="E338"/>
  <c r="F338" s="1"/>
  <c r="E327"/>
  <c r="F327" s="1"/>
  <c r="E328"/>
  <c r="F328" s="1"/>
  <c r="G296"/>
  <c r="G294"/>
  <c r="G292"/>
  <c r="E282"/>
  <c r="E283" s="1"/>
  <c r="E240"/>
  <c r="F230"/>
  <c r="E231"/>
  <c r="E217"/>
  <c r="F41" i="1" s="1"/>
  <c r="B45" i="10" s="1"/>
  <c r="E224" i="11"/>
  <c r="E210"/>
  <c r="F40" i="1" s="1"/>
  <c r="B44" i="10" s="1"/>
  <c r="E202" i="11"/>
  <c r="F39" i="1" s="1"/>
  <c r="H39" s="1"/>
  <c r="C43" i="10" s="1"/>
  <c r="E194" i="11"/>
  <c r="F38" i="1" s="1"/>
  <c r="O37" i="6" s="1"/>
  <c r="E186" i="11"/>
  <c r="E187" s="1"/>
  <c r="F37" i="1" s="1"/>
  <c r="E180" i="11"/>
  <c r="E181" s="1"/>
  <c r="F36" i="1" s="1"/>
  <c r="E175" i="11"/>
  <c r="F35" i="1" s="1"/>
  <c r="E165" i="11"/>
  <c r="F33" i="1" s="1"/>
  <c r="H33" s="1"/>
  <c r="C37" i="10" s="1"/>
  <c r="E158" i="11"/>
  <c r="F32" i="1" s="1"/>
  <c r="E134" i="11"/>
  <c r="E110"/>
  <c r="E151"/>
  <c r="F31" i="1" s="1"/>
  <c r="B35" i="10" s="1"/>
  <c r="F143" i="11"/>
  <c r="E89"/>
  <c r="E31"/>
  <c r="F15" i="1" s="1"/>
  <c r="O14" i="6" s="1"/>
  <c r="E54" i="11"/>
  <c r="F18" i="1" s="1"/>
  <c r="B22" i="10" s="1"/>
  <c r="E68" i="11"/>
  <c r="F20" i="1" s="1"/>
  <c r="O19" i="6" s="1"/>
  <c r="E82" i="11"/>
  <c r="E61"/>
  <c r="F19" i="1" s="1"/>
  <c r="B23" i="10" s="1"/>
  <c r="E16" i="11"/>
  <c r="E17" s="1"/>
  <c r="F13" i="1" s="1"/>
  <c r="F73" i="11"/>
  <c r="F71"/>
  <c r="F60"/>
  <c r="F59"/>
  <c r="F57"/>
  <c r="F52"/>
  <c r="F51"/>
  <c r="F50"/>
  <c r="F49"/>
  <c r="F19"/>
  <c r="F14"/>
  <c r="F13"/>
  <c r="F7"/>
  <c r="F6"/>
  <c r="F5"/>
  <c r="F8"/>
  <c r="E9"/>
  <c r="E10" s="1"/>
  <c r="F12" i="1" s="1"/>
  <c r="F448" i="11"/>
  <c r="E24"/>
  <c r="D4" i="9"/>
  <c r="A4"/>
  <c r="A3"/>
  <c r="D4" i="7"/>
  <c r="F4" i="6"/>
  <c r="A4"/>
  <c r="F3"/>
  <c r="A3"/>
  <c r="C6" i="3"/>
  <c r="C5"/>
  <c r="C4"/>
  <c r="D116" i="1"/>
  <c r="C28" i="3" s="1"/>
  <c r="C26"/>
  <c r="E10" i="10"/>
  <c r="A10"/>
  <c r="E8"/>
  <c r="A8"/>
  <c r="E6"/>
  <c r="A6"/>
  <c r="A5"/>
  <c r="M109" i="6"/>
  <c r="N109" s="1"/>
  <c r="L114" i="10" s="1"/>
  <c r="M108" i="6"/>
  <c r="N108" s="1"/>
  <c r="L113" i="10" s="1"/>
  <c r="M107" i="6"/>
  <c r="N107" s="1"/>
  <c r="L112" i="10" s="1"/>
  <c r="M106" i="6"/>
  <c r="M105"/>
  <c r="N105" s="1"/>
  <c r="L110" i="10" s="1"/>
  <c r="M104" i="6"/>
  <c r="N104" s="1"/>
  <c r="L109" i="10" s="1"/>
  <c r="M103" i="6"/>
  <c r="N103" s="1"/>
  <c r="L108" i="10" s="1"/>
  <c r="M102" i="6"/>
  <c r="N102" s="1"/>
  <c r="L107" i="10" s="1"/>
  <c r="M101" i="6"/>
  <c r="N101" s="1"/>
  <c r="L106" i="10" s="1"/>
  <c r="M100" i="6"/>
  <c r="M99"/>
  <c r="N99" s="1"/>
  <c r="L104" i="10" s="1"/>
  <c r="M98" i="6"/>
  <c r="N98" s="1"/>
  <c r="L103" i="10" s="1"/>
  <c r="M97" i="6"/>
  <c r="N97" s="1"/>
  <c r="L102" i="10" s="1"/>
  <c r="M96" i="6"/>
  <c r="M95"/>
  <c r="N95" s="1"/>
  <c r="L100" i="10" s="1"/>
  <c r="M94" i="6"/>
  <c r="M93"/>
  <c r="N93" s="1"/>
  <c r="L98" i="10" s="1"/>
  <c r="M92" i="6"/>
  <c r="M91"/>
  <c r="N91" s="1"/>
  <c r="L96" i="10" s="1"/>
  <c r="M90" i="6"/>
  <c r="N90" s="1"/>
  <c r="L95" i="10" s="1"/>
  <c r="M89" i="6"/>
  <c r="N89" s="1"/>
  <c r="L94" i="10" s="1"/>
  <c r="M88" i="6"/>
  <c r="M87"/>
  <c r="N87" s="1"/>
  <c r="L92" i="10" s="1"/>
  <c r="M86" i="6"/>
  <c r="N86" s="1"/>
  <c r="L91" i="10" s="1"/>
  <c r="M85" i="6"/>
  <c r="N85" s="1"/>
  <c r="L90" i="10" s="1"/>
  <c r="M84" i="6"/>
  <c r="N84" s="1"/>
  <c r="L89" i="10" s="1"/>
  <c r="M83" i="6"/>
  <c r="N83" s="1"/>
  <c r="L88" i="10" s="1"/>
  <c r="M82" i="6"/>
  <c r="N82" s="1"/>
  <c r="L87" i="10" s="1"/>
  <c r="M81" i="6"/>
  <c r="N81" s="1"/>
  <c r="L86" i="10" s="1"/>
  <c r="M80" i="6"/>
  <c r="M79"/>
  <c r="N79" s="1"/>
  <c r="L84" i="10" s="1"/>
  <c r="M78" i="6"/>
  <c r="N78" s="1"/>
  <c r="L83" i="10" s="1"/>
  <c r="M77" i="6"/>
  <c r="N77" s="1"/>
  <c r="L82" i="10" s="1"/>
  <c r="M76" i="6"/>
  <c r="M75"/>
  <c r="N75" s="1"/>
  <c r="L80" i="10" s="1"/>
  <c r="M74" i="6"/>
  <c r="N74" s="1"/>
  <c r="L79" i="10" s="1"/>
  <c r="M73" i="6"/>
  <c r="N73" s="1"/>
  <c r="L78" i="10" s="1"/>
  <c r="M72" i="6"/>
  <c r="N72" s="1"/>
  <c r="L77" i="10" s="1"/>
  <c r="M71" i="6"/>
  <c r="N71" s="1"/>
  <c r="L76" i="10" s="1"/>
  <c r="M70" i="6"/>
  <c r="M69"/>
  <c r="N69" s="1"/>
  <c r="L74" i="10" s="1"/>
  <c r="M68" i="6"/>
  <c r="M67"/>
  <c r="N67" s="1"/>
  <c r="L72" i="10" s="1"/>
  <c r="M66" i="6"/>
  <c r="N66" s="1"/>
  <c r="L71" i="10" s="1"/>
  <c r="M65" i="6"/>
  <c r="N65" s="1"/>
  <c r="L70" i="10" s="1"/>
  <c r="M64" i="6"/>
  <c r="M63"/>
  <c r="N63" s="1"/>
  <c r="L68" i="10" s="1"/>
  <c r="M62" i="6"/>
  <c r="M61"/>
  <c r="N61" s="1"/>
  <c r="L66" i="10" s="1"/>
  <c r="M60" i="6"/>
  <c r="M59"/>
  <c r="N59" s="1"/>
  <c r="L64" i="10" s="1"/>
  <c r="M58" i="6"/>
  <c r="N58" s="1"/>
  <c r="L63" i="10" s="1"/>
  <c r="M57" i="6"/>
  <c r="N57" s="1"/>
  <c r="L62" i="10" s="1"/>
  <c r="M56" i="6"/>
  <c r="N56" s="1"/>
  <c r="L61" i="10" s="1"/>
  <c r="M55" i="6"/>
  <c r="N55" s="1"/>
  <c r="L60" i="10" s="1"/>
  <c r="M54" i="6"/>
  <c r="N54" s="1"/>
  <c r="L59" i="10" s="1"/>
  <c r="M53" i="6"/>
  <c r="N53" s="1"/>
  <c r="L58" i="10" s="1"/>
  <c r="M52" i="6"/>
  <c r="N52" s="1"/>
  <c r="L57" i="10" s="1"/>
  <c r="M51" i="6"/>
  <c r="N51" s="1"/>
  <c r="L56" i="10" s="1"/>
  <c r="M50" i="6"/>
  <c r="M49"/>
  <c r="N49" s="1"/>
  <c r="L54" i="10" s="1"/>
  <c r="M48" i="6"/>
  <c r="N48" s="1"/>
  <c r="L53" i="10" s="1"/>
  <c r="M47" i="6"/>
  <c r="N47" s="1"/>
  <c r="L52" i="10" s="1"/>
  <c r="M46" i="6"/>
  <c r="N46" s="1"/>
  <c r="L51" i="10" s="1"/>
  <c r="M45" i="6"/>
  <c r="N45" s="1"/>
  <c r="L50" i="10" s="1"/>
  <c r="M44" i="6"/>
  <c r="N44" s="1"/>
  <c r="L49" i="10" s="1"/>
  <c r="M43" i="6"/>
  <c r="N43" s="1"/>
  <c r="L48" i="10" s="1"/>
  <c r="M42" i="6"/>
  <c r="M41"/>
  <c r="N41" s="1"/>
  <c r="L46" i="10" s="1"/>
  <c r="M40" i="6"/>
  <c r="N40" s="1"/>
  <c r="L45" i="10" s="1"/>
  <c r="M39" i="6"/>
  <c r="N39" s="1"/>
  <c r="L44" i="10" s="1"/>
  <c r="M38" i="6"/>
  <c r="N38" s="1"/>
  <c r="L43" i="10" s="1"/>
  <c r="M37" i="6"/>
  <c r="N37" s="1"/>
  <c r="L42" i="10" s="1"/>
  <c r="M36" i="6"/>
  <c r="M35"/>
  <c r="N35" s="1"/>
  <c r="L40" i="10" s="1"/>
  <c r="M34" i="6"/>
  <c r="N34" s="1"/>
  <c r="L39" i="10" s="1"/>
  <c r="M33" i="6"/>
  <c r="N33" s="1"/>
  <c r="L38" i="10" s="1"/>
  <c r="M32" i="6"/>
  <c r="M31"/>
  <c r="N31" s="1"/>
  <c r="L36" i="10" s="1"/>
  <c r="M30" i="6"/>
  <c r="N30" s="1"/>
  <c r="L35" i="10" s="1"/>
  <c r="M29" i="6"/>
  <c r="N29" s="1"/>
  <c r="L34" i="10" s="1"/>
  <c r="M28" i="6"/>
  <c r="M27"/>
  <c r="N27" s="1"/>
  <c r="L32" i="10" s="1"/>
  <c r="M26" i="6"/>
  <c r="N26" s="1"/>
  <c r="L31" i="10" s="1"/>
  <c r="M25" i="6"/>
  <c r="N25" s="1"/>
  <c r="L30" i="10" s="1"/>
  <c r="M24" i="6"/>
  <c r="N24" s="1"/>
  <c r="L29" i="10" s="1"/>
  <c r="M23" i="6"/>
  <c r="N23" s="1"/>
  <c r="L28" i="10" s="1"/>
  <c r="M22" i="6"/>
  <c r="M21"/>
  <c r="N21" s="1"/>
  <c r="L26" i="10" s="1"/>
  <c r="M20" i="6"/>
  <c r="N20" s="1"/>
  <c r="L25" i="10" s="1"/>
  <c r="M19" i="6"/>
  <c r="N19" s="1"/>
  <c r="L24" i="10" s="1"/>
  <c r="M18" i="6"/>
  <c r="N18" s="1"/>
  <c r="L23" i="10" s="1"/>
  <c r="M17" i="6"/>
  <c r="N17" s="1"/>
  <c r="L22" i="10" s="1"/>
  <c r="M16" i="6"/>
  <c r="M15"/>
  <c r="N15" s="1"/>
  <c r="L20" i="10" s="1"/>
  <c r="M14" i="6"/>
  <c r="N14" s="1"/>
  <c r="L19" i="10" s="1"/>
  <c r="M13" i="6"/>
  <c r="N13" s="1"/>
  <c r="L18" i="10" s="1"/>
  <c r="M12" i="6"/>
  <c r="N12" s="1"/>
  <c r="L17" i="10" s="1"/>
  <c r="M11" i="6"/>
  <c r="N11" s="1"/>
  <c r="L16" i="10" s="1"/>
  <c r="F72" i="1"/>
  <c r="F71"/>
  <c r="C23" i="3"/>
  <c r="C22"/>
  <c r="C18"/>
  <c r="C16"/>
  <c r="C15"/>
  <c r="C14"/>
  <c r="C11"/>
  <c r="J110" i="6"/>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A11"/>
  <c r="B105" i="4"/>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A6"/>
  <c r="F105" i="1"/>
  <c r="F26"/>
  <c r="H26" s="1"/>
  <c r="C30" i="10" s="1"/>
  <c r="F109" i="1"/>
  <c r="F62"/>
  <c r="F111"/>
  <c r="O110" i="6" s="1"/>
  <c r="F110" i="1"/>
  <c r="F102"/>
  <c r="F97"/>
  <c r="F85"/>
  <c r="F84"/>
  <c r="F81"/>
  <c r="F57"/>
  <c r="F74"/>
  <c r="F64"/>
  <c r="F63"/>
  <c r="F61"/>
  <c r="B65" i="10" s="1"/>
  <c r="F44" i="1"/>
  <c r="B48" i="10" s="1"/>
  <c r="F25" i="1"/>
  <c r="O24" i="6" s="1"/>
  <c r="D25" i="1"/>
  <c r="C19" i="4" s="1"/>
  <c r="E18" i="3"/>
  <c r="E16"/>
  <c r="E15"/>
  <c r="E14"/>
  <c r="E13"/>
  <c r="D109" i="1"/>
  <c r="C103" i="4" s="1"/>
  <c r="D107" i="1"/>
  <c r="C101" i="4" s="1"/>
  <c r="C94"/>
  <c r="D99" i="1"/>
  <c r="C93" i="4" s="1"/>
  <c r="D97" i="1"/>
  <c r="C91" i="4" s="1"/>
  <c r="D96" i="1"/>
  <c r="C90" i="4" s="1"/>
  <c r="D94" i="1"/>
  <c r="C88" i="4" s="1"/>
  <c r="D93" i="1"/>
  <c r="C87" i="4" s="1"/>
  <c r="D91" i="1"/>
  <c r="C85" i="4" s="1"/>
  <c r="D90" i="1"/>
  <c r="C84" i="4" s="1"/>
  <c r="D89" i="1"/>
  <c r="C83" i="4" s="1"/>
  <c r="D83" i="1"/>
  <c r="C77" i="4" s="1"/>
  <c r="D82" i="1"/>
  <c r="C76" i="4" s="1"/>
  <c r="C75"/>
  <c r="C74"/>
  <c r="C73"/>
  <c r="C72"/>
  <c r="D77" i="1"/>
  <c r="C71" i="4" s="1"/>
  <c r="D76" i="1"/>
  <c r="C70" i="4" s="1"/>
  <c r="D75" i="1"/>
  <c r="C69" i="4" s="1"/>
  <c r="D73" i="1"/>
  <c r="C67" i="4" s="1"/>
  <c r="D72" i="1"/>
  <c r="C66" i="4" s="1"/>
  <c r="D71" i="1"/>
  <c r="C65" i="4" s="1"/>
  <c r="D70" i="1"/>
  <c r="C64" i="4" s="1"/>
  <c r="D69" i="1"/>
  <c r="C63" i="4" s="1"/>
  <c r="D68" i="1"/>
  <c r="C62" i="4" s="1"/>
  <c r="D67" i="1"/>
  <c r="C61" i="4" s="1"/>
  <c r="D66" i="1"/>
  <c r="C60" i="4" s="1"/>
  <c r="D65" i="1"/>
  <c r="C59" i="4" s="1"/>
  <c r="D64" i="1"/>
  <c r="C58" i="4" s="1"/>
  <c r="C57"/>
  <c r="D62" i="1"/>
  <c r="C56" i="4" s="1"/>
  <c r="D61" i="1"/>
  <c r="C55" i="4" s="1"/>
  <c r="C54"/>
  <c r="C51"/>
  <c r="C50"/>
  <c r="C49"/>
  <c r="C48"/>
  <c r="D53" i="1"/>
  <c r="C47" i="4" s="1"/>
  <c r="C46"/>
  <c r="C44"/>
  <c r="D51" i="1"/>
  <c r="C45" i="4" s="1"/>
  <c r="C43"/>
  <c r="C31"/>
  <c r="C30"/>
  <c r="C29"/>
  <c r="C28"/>
  <c r="D33" i="1"/>
  <c r="C27" i="4" s="1"/>
  <c r="D31" i="1"/>
  <c r="C25" i="4" s="1"/>
  <c r="D28" i="1"/>
  <c r="C22" i="4" s="1"/>
  <c r="D21" i="1"/>
  <c r="C15" i="4" s="1"/>
  <c r="D20" i="1"/>
  <c r="C14" i="4" s="1"/>
  <c r="D19" i="1"/>
  <c r="C13" i="4" s="1"/>
  <c r="D18" i="1"/>
  <c r="C12" i="4" s="1"/>
  <c r="D17" i="1"/>
  <c r="C11" i="4" s="1"/>
  <c r="D16" i="1"/>
  <c r="C10" i="4" s="1"/>
  <c r="D15" i="1"/>
  <c r="C9" i="4" s="1"/>
  <c r="D14" i="1"/>
  <c r="C8" i="4" s="1"/>
  <c r="D13" i="1"/>
  <c r="C7" i="4" s="1"/>
  <c r="D12" i="1"/>
  <c r="C6" i="4" s="1"/>
  <c r="C100"/>
  <c r="D105" i="1"/>
  <c r="C99" i="4" s="1"/>
  <c r="C95"/>
  <c r="F100" i="1"/>
  <c r="D98"/>
  <c r="C92" i="4" s="1"/>
  <c r="F89" i="1"/>
  <c r="D85"/>
  <c r="C79" i="4" s="1"/>
  <c r="D74" i="1"/>
  <c r="C68" i="4" s="1"/>
  <c r="F73" i="1"/>
  <c r="F70"/>
  <c r="F69"/>
  <c r="F67"/>
  <c r="F65"/>
  <c r="D32"/>
  <c r="C26" i="4" s="1"/>
  <c r="F49" i="1"/>
  <c r="D44"/>
  <c r="C38" i="4" s="1"/>
  <c r="F28" i="1"/>
  <c r="O27" i="6" s="1"/>
  <c r="F27" i="1"/>
  <c r="H27" s="1"/>
  <c r="C31" i="10" s="1"/>
  <c r="F17" i="1"/>
  <c r="O16" i="6" s="1"/>
  <c r="A13" i="1"/>
  <c r="A12" i="6" s="1"/>
  <c r="E23" i="3"/>
  <c r="E11"/>
  <c r="E10"/>
  <c r="F94" i="1"/>
  <c r="F106"/>
  <c r="F78"/>
  <c r="F77"/>
  <c r="F76"/>
  <c r="F75"/>
  <c r="F66"/>
  <c r="F21"/>
  <c r="H21" s="1"/>
  <c r="C25" i="10" s="1"/>
  <c r="D84" i="1"/>
  <c r="C78" i="4" s="1"/>
  <c r="D27" i="1"/>
  <c r="C21" i="4" s="1"/>
  <c r="D46" i="1"/>
  <c r="C40" i="4" s="1"/>
  <c r="D38" i="1"/>
  <c r="C32" i="4" s="1"/>
  <c r="F53" i="1"/>
  <c r="B57" i="10" s="1"/>
  <c r="J113" i="6"/>
  <c r="E109" i="9" s="1"/>
  <c r="A111"/>
  <c r="G111"/>
  <c r="A27" i="7"/>
  <c r="C31" i="3"/>
  <c r="C3"/>
  <c r="C20"/>
  <c r="C19"/>
  <c r="D92" i="1"/>
  <c r="C86" i="4" s="1"/>
  <c r="C23"/>
  <c r="E22" i="3"/>
  <c r="G22" s="1"/>
  <c r="F93" i="1"/>
  <c r="F82"/>
  <c r="F107"/>
  <c r="F90"/>
  <c r="F80"/>
  <c r="F79"/>
  <c r="F60"/>
  <c r="F58"/>
  <c r="F51"/>
  <c r="H51" s="1"/>
  <c r="C55" i="10" s="1"/>
  <c r="D42" i="1"/>
  <c r="C36" i="4" s="1"/>
  <c r="F16" i="1"/>
  <c r="O15" i="6" s="1"/>
  <c r="F14" i="1"/>
  <c r="O13" i="6" s="1"/>
  <c r="D26" i="1"/>
  <c r="C20" i="4" s="1"/>
  <c r="E20" i="3"/>
  <c r="E19"/>
  <c r="G19" s="1"/>
  <c r="G23" i="10" s="1"/>
  <c r="F96" i="1"/>
  <c r="F91"/>
  <c r="F83"/>
  <c r="F59"/>
  <c r="F55"/>
  <c r="F54"/>
  <c r="F34"/>
  <c r="B38" i="10" s="1"/>
  <c r="F98" i="1"/>
  <c r="F95"/>
  <c r="F22"/>
  <c r="B26" i="10" s="1"/>
  <c r="F92" i="1"/>
  <c r="F52"/>
  <c r="F50"/>
  <c r="F23"/>
  <c r="O22" i="6" s="1"/>
  <c r="D88" i="1"/>
  <c r="C82" i="4" s="1"/>
  <c r="J17" i="10"/>
  <c r="J18" s="1"/>
  <c r="J19" s="1"/>
  <c r="J20" s="1"/>
  <c r="J21" s="1"/>
  <c r="J22" s="1"/>
  <c r="J23" s="1"/>
  <c r="J24" s="1"/>
  <c r="J25" s="1"/>
  <c r="J26" s="1"/>
  <c r="J27" s="1"/>
  <c r="J28" s="1"/>
  <c r="J29" s="1"/>
  <c r="J30" s="1"/>
  <c r="J31" s="1"/>
  <c r="J32" s="1"/>
  <c r="J33" s="1"/>
  <c r="J34" s="1"/>
  <c r="J35" s="1"/>
  <c r="J36" s="1"/>
  <c r="J37" s="1"/>
  <c r="J38" s="1"/>
  <c r="J39" s="1"/>
  <c r="J40" s="1"/>
  <c r="J41" s="1"/>
  <c r="J42" s="1"/>
  <c r="J43" s="1"/>
  <c r="J44" s="1"/>
  <c r="J45" s="1"/>
  <c r="J46" s="1"/>
  <c r="J47" s="1"/>
  <c r="J48" s="1"/>
  <c r="J49" s="1"/>
  <c r="J50" s="1"/>
  <c r="J51" s="1"/>
  <c r="J52" s="1"/>
  <c r="J53" s="1"/>
  <c r="J54" s="1"/>
  <c r="J55" s="1"/>
  <c r="J56" s="1"/>
  <c r="J57" s="1"/>
  <c r="J58" s="1"/>
  <c r="J59" s="1"/>
  <c r="J60" s="1"/>
  <c r="J61" s="1"/>
  <c r="J62" s="1"/>
  <c r="J63" s="1"/>
  <c r="J64" s="1"/>
  <c r="J65" s="1"/>
  <c r="J66" s="1"/>
  <c r="J67" s="1"/>
  <c r="J68" s="1"/>
  <c r="J69" s="1"/>
  <c r="J70" s="1"/>
  <c r="J71" s="1"/>
  <c r="J72" s="1"/>
  <c r="J73" s="1"/>
  <c r="J74" s="1"/>
  <c r="J75" s="1"/>
  <c r="J76" s="1"/>
  <c r="J77" s="1"/>
  <c r="J78" s="1"/>
  <c r="J79" s="1"/>
  <c r="J80" s="1"/>
  <c r="J81" s="1"/>
  <c r="J82" s="1"/>
  <c r="J83" s="1"/>
  <c r="J84" s="1"/>
  <c r="J85" s="1"/>
  <c r="J86" s="1"/>
  <c r="J87" s="1"/>
  <c r="J88" s="1"/>
  <c r="J89" s="1"/>
  <c r="J90" s="1"/>
  <c r="J91" s="1"/>
  <c r="J92" s="1"/>
  <c r="J93" s="1"/>
  <c r="J94" s="1"/>
  <c r="J95" s="1"/>
  <c r="J96" s="1"/>
  <c r="J97" s="1"/>
  <c r="J98" s="1"/>
  <c r="J99" s="1"/>
  <c r="J100" s="1"/>
  <c r="J101" s="1"/>
  <c r="J102" s="1"/>
  <c r="J103" s="1"/>
  <c r="J104" s="1"/>
  <c r="J105" s="1"/>
  <c r="J106" s="1"/>
  <c r="J107" s="1"/>
  <c r="J108" s="1"/>
  <c r="J109" s="1"/>
  <c r="J110" s="1"/>
  <c r="J111" s="1"/>
  <c r="J112" s="1"/>
  <c r="J113" s="1"/>
  <c r="J114" s="1"/>
  <c r="J115" s="1"/>
  <c r="A17"/>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F24" i="1"/>
  <c r="H24" s="1"/>
  <c r="C28" i="10" s="1"/>
  <c r="F68" i="1"/>
  <c r="D108"/>
  <c r="C102" i="4" s="1"/>
  <c r="C24"/>
  <c r="D24" i="1"/>
  <c r="C18" i="4" s="1"/>
  <c r="D23" i="1"/>
  <c r="C17" i="4" s="1"/>
  <c r="D22" i="1"/>
  <c r="C16" i="4" s="1"/>
  <c r="D111" i="1"/>
  <c r="C105" i="4" s="1"/>
  <c r="D95" i="1"/>
  <c r="C89" i="4" s="1"/>
  <c r="C104"/>
  <c r="D41" i="1"/>
  <c r="C35" i="4" s="1"/>
  <c r="D45" i="1"/>
  <c r="C39" i="4" s="1"/>
  <c r="F42" i="1"/>
  <c r="H42" s="1"/>
  <c r="C46" i="10" s="1"/>
  <c r="C52" i="4"/>
  <c r="D87" i="1"/>
  <c r="C81" i="4" s="1"/>
  <c r="D40" i="1"/>
  <c r="C34" i="4" s="1"/>
  <c r="D104" i="1"/>
  <c r="C98" i="4" s="1"/>
  <c r="D39" i="1"/>
  <c r="C33" i="4" s="1"/>
  <c r="D86" i="1"/>
  <c r="C80" i="4" s="1"/>
  <c r="F29" i="1"/>
  <c r="H29" s="1"/>
  <c r="C33" i="10" s="1"/>
  <c r="K19"/>
  <c r="K113"/>
  <c r="K76"/>
  <c r="K46"/>
  <c r="K43"/>
  <c r="O21"/>
  <c r="M16" i="7"/>
  <c r="P21" i="10" s="1"/>
  <c r="O19"/>
  <c r="M14" i="7"/>
  <c r="P19" i="10" s="1"/>
  <c r="O23"/>
  <c r="M19" i="7"/>
  <c r="P23" i="10" s="1"/>
  <c r="K105"/>
  <c r="N100" i="6"/>
  <c r="L105" i="10" s="1"/>
  <c r="K59"/>
  <c r="K22"/>
  <c r="N92" i="6"/>
  <c r="L97" i="10" s="1"/>
  <c r="K97"/>
  <c r="K18"/>
  <c r="K87"/>
  <c r="O20"/>
  <c r="M15" i="7"/>
  <c r="P20" i="10" s="1"/>
  <c r="O24"/>
  <c r="M20" i="7"/>
  <c r="P24" i="10" s="1"/>
  <c r="K21"/>
  <c r="N16" i="6"/>
  <c r="L21" i="10" s="1"/>
  <c r="K110"/>
  <c r="K57"/>
  <c r="K64"/>
  <c r="K100"/>
  <c r="O17"/>
  <c r="M11" i="7"/>
  <c r="P17" i="10" s="1"/>
  <c r="O18"/>
  <c r="M13" i="7"/>
  <c r="P18" i="10" s="1"/>
  <c r="O22"/>
  <c r="M18" i="7"/>
  <c r="P22" i="10" s="1"/>
  <c r="K44"/>
  <c r="K27"/>
  <c r="N22" i="6"/>
  <c r="L27" i="10" s="1"/>
  <c r="K36"/>
  <c r="K24"/>
  <c r="K66"/>
  <c r="K78"/>
  <c r="K61"/>
  <c r="K54"/>
  <c r="K73"/>
  <c r="N68" i="6"/>
  <c r="L73" i="10" s="1"/>
  <c r="K30"/>
  <c r="K89"/>
  <c r="K48"/>
  <c r="K53"/>
  <c r="K70"/>
  <c r="K50"/>
  <c r="K55"/>
  <c r="N50" i="6"/>
  <c r="L55" i="10" s="1"/>
  <c r="K26"/>
  <c r="K72"/>
  <c r="K16"/>
  <c r="K52"/>
  <c r="K92"/>
  <c r="K47"/>
  <c r="N42" i="6"/>
  <c r="L47" i="10" s="1"/>
  <c r="K25"/>
  <c r="K67"/>
  <c r="N62" i="6"/>
  <c r="L67" i="10" s="1"/>
  <c r="K42"/>
  <c r="K23"/>
  <c r="K86"/>
  <c r="K38"/>
  <c r="K112"/>
  <c r="K49"/>
  <c r="K31"/>
  <c r="K39"/>
  <c r="N28" i="6"/>
  <c r="L33" i="10" s="1"/>
  <c r="K33"/>
  <c r="N70" i="6"/>
  <c r="L75" i="10" s="1"/>
  <c r="K75"/>
  <c r="K109"/>
  <c r="K106"/>
  <c r="K45"/>
  <c r="K77"/>
  <c r="K32"/>
  <c r="K94"/>
  <c r="K20"/>
  <c r="K95"/>
  <c r="K35"/>
  <c r="K108"/>
  <c r="K103"/>
  <c r="N96" i="6"/>
  <c r="L101" i="10" s="1"/>
  <c r="K101"/>
  <c r="N60" i="6"/>
  <c r="L65" i="10" s="1"/>
  <c r="K65"/>
  <c r="N88" i="6"/>
  <c r="L93" i="10" s="1"/>
  <c r="K93"/>
  <c r="K71"/>
  <c r="K98"/>
  <c r="K84"/>
  <c r="K58"/>
  <c r="K37"/>
  <c r="N32" i="6"/>
  <c r="L37" i="10" s="1"/>
  <c r="K17"/>
  <c r="K81"/>
  <c r="N76" i="6"/>
  <c r="L81" i="10" s="1"/>
  <c r="K79"/>
  <c r="K91"/>
  <c r="K34"/>
  <c r="K28"/>
  <c r="K82"/>
  <c r="K80"/>
  <c r="K62"/>
  <c r="L115"/>
  <c r="K115"/>
  <c r="K85"/>
  <c r="N80" i="6"/>
  <c r="L85" i="10" s="1"/>
  <c r="K104"/>
  <c r="N64" i="6"/>
  <c r="L69" i="10" s="1"/>
  <c r="K69"/>
  <c r="K51"/>
  <c r="K83"/>
  <c r="K90"/>
  <c r="K40"/>
  <c r="N94" i="6"/>
  <c r="L99" i="10" s="1"/>
  <c r="K99"/>
  <c r="K107"/>
  <c r="K114"/>
  <c r="K68"/>
  <c r="K29"/>
  <c r="K74"/>
  <c r="K60"/>
  <c r="K111"/>
  <c r="N106" i="6"/>
  <c r="L111" i="10" s="1"/>
  <c r="K63"/>
  <c r="K41"/>
  <c r="N36" i="6"/>
  <c r="L41" i="10" s="1"/>
  <c r="K96"/>
  <c r="K88"/>
  <c r="K102"/>
  <c r="K56"/>
  <c r="G20" i="3"/>
  <c r="G24" i="10" s="1"/>
  <c r="F86" i="1"/>
  <c r="F88"/>
  <c r="F104"/>
  <c r="O25" i="10"/>
  <c r="M22" i="7"/>
  <c r="P25" i="10" s="1"/>
  <c r="F87" i="1"/>
  <c r="F108"/>
  <c r="F99"/>
  <c r="B30" i="10"/>
  <c r="E232" i="11" l="1"/>
  <c r="F43" i="1" s="1"/>
  <c r="B47" i="10" s="1"/>
  <c r="G226" i="11"/>
  <c r="D43" i="1" s="1"/>
  <c r="C37" i="4" s="1"/>
  <c r="G738" i="11"/>
  <c r="D103" i="1" s="1"/>
  <c r="C97" i="4" s="1"/>
  <c r="G428" i="11"/>
  <c r="D59" i="1" s="1"/>
  <c r="C53" i="4" s="1"/>
  <c r="H61" i="1"/>
  <c r="C65" i="10" s="1"/>
  <c r="G25"/>
  <c r="L117"/>
  <c r="A14" i="1"/>
  <c r="A13" i="6" s="1"/>
  <c r="B36" i="10"/>
  <c r="O31" i="6"/>
  <c r="G297" i="11"/>
  <c r="B28" i="10"/>
  <c r="A15" i="1"/>
  <c r="A14" i="6" s="1"/>
  <c r="A7" i="4"/>
  <c r="O43" i="6"/>
  <c r="O32"/>
  <c r="O23"/>
  <c r="B33" i="10"/>
  <c r="I25" i="7"/>
  <c r="O40" i="6"/>
  <c r="O25"/>
  <c r="O20"/>
  <c r="O26"/>
  <c r="H16" i="1"/>
  <c r="H25"/>
  <c r="C29" i="10" s="1"/>
  <c r="A9" i="4"/>
  <c r="F42" i="10"/>
  <c r="H42" s="1"/>
  <c r="G14" i="3"/>
  <c r="G19" i="10" s="1"/>
  <c r="G16" i="3"/>
  <c r="G21" i="10" s="1"/>
  <c r="G13" i="3"/>
  <c r="G15"/>
  <c r="G20" i="10" s="1"/>
  <c r="G18" i="3"/>
  <c r="G11"/>
  <c r="G17" i="10" s="1"/>
  <c r="H17" i="1"/>
  <c r="C21" i="10" s="1"/>
  <c r="B25"/>
  <c r="H34" i="1"/>
  <c r="C38" i="10" s="1"/>
  <c r="H31" i="1"/>
  <c r="B27" i="10"/>
  <c r="B29"/>
  <c r="H44" i="1"/>
  <c r="C48" i="10" s="1"/>
  <c r="H20" i="1"/>
  <c r="C24" i="10" s="1"/>
  <c r="H38" i="1"/>
  <c r="C42" i="10" s="1"/>
  <c r="B55"/>
  <c r="O52" i="6"/>
  <c r="O60"/>
  <c r="H15" i="1"/>
  <c r="C19" i="10" s="1"/>
  <c r="B19"/>
  <c r="B42"/>
  <c r="H18" i="1"/>
  <c r="C22" i="10" s="1"/>
  <c r="B31"/>
  <c r="B37"/>
  <c r="O50" i="6"/>
  <c r="B20" i="10"/>
  <c r="H53" i="1"/>
  <c r="C57" i="10" s="1"/>
  <c r="B24"/>
  <c r="B21"/>
  <c r="B18"/>
  <c r="H22" i="1"/>
  <c r="C26" i="10" s="1"/>
  <c r="O30" i="6"/>
  <c r="H41" i="1"/>
  <c r="C45" i="10" s="1"/>
  <c r="O18" i="6"/>
  <c r="H23" i="1"/>
  <c r="C27" i="10" s="1"/>
  <c r="H19" i="1"/>
  <c r="C23" i="10" s="1"/>
  <c r="O28" i="6"/>
  <c r="A16" i="1"/>
  <c r="A8" i="4"/>
  <c r="G10" i="3"/>
  <c r="G23"/>
  <c r="G26" i="10" s="1"/>
  <c r="O38" i="6"/>
  <c r="H28" i="1"/>
  <c r="C32" i="10" s="1"/>
  <c r="O41" i="6"/>
  <c r="H14" i="1"/>
  <c r="C18" i="10" s="1"/>
  <c r="H32" i="1"/>
  <c r="C36" i="10" s="1"/>
  <c r="O33" i="6"/>
  <c r="O17"/>
  <c r="O21"/>
  <c r="B46" i="10"/>
  <c r="B32"/>
  <c r="O39" i="6"/>
  <c r="M23" i="7"/>
  <c r="P26" i="10" s="1"/>
  <c r="O26"/>
  <c r="B43"/>
  <c r="O84" i="6"/>
  <c r="B89" i="10"/>
  <c r="H85" i="1"/>
  <c r="C89" i="10" s="1"/>
  <c r="H13" i="1"/>
  <c r="C17" i="10" s="1"/>
  <c r="B17"/>
  <c r="O12" i="6"/>
  <c r="H68" i="1"/>
  <c r="B72" i="10"/>
  <c r="O67" i="6"/>
  <c r="O54"/>
  <c r="H55" i="1"/>
  <c r="C59" i="10" s="1"/>
  <c r="B59"/>
  <c r="O82" i="6"/>
  <c r="H83" i="1"/>
  <c r="C87" i="10" s="1"/>
  <c r="B87"/>
  <c r="B100"/>
  <c r="H96" i="1"/>
  <c r="C100" i="10" s="1"/>
  <c r="O95" i="6"/>
  <c r="B62" i="10"/>
  <c r="O57" i="6"/>
  <c r="H58" i="1"/>
  <c r="C62" i="10" s="1"/>
  <c r="B83"/>
  <c r="O78" i="6"/>
  <c r="H79" i="1"/>
  <c r="C83" i="10" s="1"/>
  <c r="H90" i="1"/>
  <c r="C94" i="10" s="1"/>
  <c r="B94"/>
  <c r="O89" i="6"/>
  <c r="H82" i="1"/>
  <c r="C86" i="10" s="1"/>
  <c r="O81" i="6"/>
  <c r="B86" i="10"/>
  <c r="B110"/>
  <c r="O105" i="6"/>
  <c r="H106" i="1"/>
  <c r="C110" i="10" s="1"/>
  <c r="H74" i="1"/>
  <c r="C78" i="10" s="1"/>
  <c r="O73" i="6"/>
  <c r="B78" i="10"/>
  <c r="O53" i="6"/>
  <c r="H54" i="1"/>
  <c r="C58" i="10" s="1"/>
  <c r="B58"/>
  <c r="B63"/>
  <c r="H59" i="1"/>
  <c r="C63" i="10" s="1"/>
  <c r="O58" i="6"/>
  <c r="O90"/>
  <c r="B95" i="10"/>
  <c r="H91" i="1"/>
  <c r="C95" i="10" s="1"/>
  <c r="B64"/>
  <c r="H60" i="1"/>
  <c r="C64" i="10" s="1"/>
  <c r="O59" i="6"/>
  <c r="O79"/>
  <c r="H80" i="1"/>
  <c r="C84" i="10" s="1"/>
  <c r="B84"/>
  <c r="B111"/>
  <c r="H107" i="1"/>
  <c r="C111" i="10" s="1"/>
  <c r="O106" i="6"/>
  <c r="O92"/>
  <c r="H93" i="1"/>
  <c r="C97" i="10" s="1"/>
  <c r="B97"/>
  <c r="H89" i="1"/>
  <c r="C93" i="10" s="1"/>
  <c r="B93"/>
  <c r="O88" i="6"/>
  <c r="B104" i="10"/>
  <c r="O99" i="6"/>
  <c r="H100" i="1"/>
  <c r="C104" i="10" s="1"/>
  <c r="B103"/>
  <c r="H99" i="1"/>
  <c r="O98" i="6"/>
  <c r="H103" i="1"/>
  <c r="C107" i="10" s="1"/>
  <c r="B107"/>
  <c r="O102" i="6"/>
  <c r="O107"/>
  <c r="B112" i="10"/>
  <c r="H108" i="1"/>
  <c r="C112" i="10" s="1"/>
  <c r="O87" i="6"/>
  <c r="H88" i="1"/>
  <c r="C92" i="10" s="1"/>
  <c r="B92"/>
  <c r="B90"/>
  <c r="H86" i="1"/>
  <c r="C90" i="10" s="1"/>
  <c r="O85" i="6"/>
  <c r="H50" i="1"/>
  <c r="C54" i="10" s="1"/>
  <c r="O49" i="6"/>
  <c r="B54" i="10"/>
  <c r="B56"/>
  <c r="H52" i="1"/>
  <c r="O51" i="6"/>
  <c r="H95" i="1"/>
  <c r="C99" i="10" s="1"/>
  <c r="B99"/>
  <c r="O94" i="6"/>
  <c r="B80" i="10"/>
  <c r="O75" i="6"/>
  <c r="H76" i="1"/>
  <c r="C80" i="10" s="1"/>
  <c r="H77" i="1"/>
  <c r="C81" i="10" s="1"/>
  <c r="B81"/>
  <c r="O76" i="6"/>
  <c r="O93"/>
  <c r="B98" i="10"/>
  <c r="H94" i="1"/>
  <c r="C98" i="10" s="1"/>
  <c r="B53"/>
  <c r="H49" i="1"/>
  <c r="C53" i="10" s="1"/>
  <c r="O48" i="6"/>
  <c r="O64"/>
  <c r="B69" i="10"/>
  <c r="H65" i="1"/>
  <c r="C69" i="10" s="1"/>
  <c r="O68" i="6"/>
  <c r="H69" i="1"/>
  <c r="C73" i="10" s="1"/>
  <c r="B73"/>
  <c r="O72" i="6"/>
  <c r="H73" i="1"/>
  <c r="C77" i="10" s="1"/>
  <c r="B77"/>
  <c r="O11" i="6"/>
  <c r="H12" i="1"/>
  <c r="B16" i="10"/>
  <c r="H63" i="1"/>
  <c r="C67" i="10" s="1"/>
  <c r="B67"/>
  <c r="O62" i="6"/>
  <c r="H57" i="1"/>
  <c r="C61" i="10" s="1"/>
  <c r="O56" i="6"/>
  <c r="B61" i="10"/>
  <c r="H84" i="1"/>
  <c r="C88" i="10" s="1"/>
  <c r="B88"/>
  <c r="O83" i="6"/>
  <c r="O101"/>
  <c r="H102" i="1"/>
  <c r="C106" i="10" s="1"/>
  <c r="B106"/>
  <c r="H111" i="1"/>
  <c r="C115" i="10" s="1"/>
  <c r="B115"/>
  <c r="H62" i="1"/>
  <c r="C66" i="10" s="1"/>
  <c r="O61" i="6"/>
  <c r="B66" i="10"/>
  <c r="B109"/>
  <c r="H105" i="1"/>
  <c r="C109" i="10" s="1"/>
  <c r="O104" i="6"/>
  <c r="B75" i="10"/>
  <c r="H71" i="1"/>
  <c r="C75" i="10" s="1"/>
  <c r="O70" i="6"/>
  <c r="H101" i="1"/>
  <c r="C105" i="10" s="1"/>
  <c r="O100" i="6"/>
  <c r="B105" i="10"/>
  <c r="H37" i="1"/>
  <c r="C41" i="10" s="1"/>
  <c r="O36" i="6"/>
  <c r="B41" i="10"/>
  <c r="B91"/>
  <c r="H87" i="1"/>
  <c r="C91" i="10" s="1"/>
  <c r="O86" i="6"/>
  <c r="H104" i="1"/>
  <c r="C108" i="10" s="1"/>
  <c r="B108"/>
  <c r="O103" i="6"/>
  <c r="O91"/>
  <c r="B96" i="10"/>
  <c r="H92" i="1"/>
  <c r="C96" i="10" s="1"/>
  <c r="H98" i="1"/>
  <c r="C102" i="10" s="1"/>
  <c r="O97" i="6"/>
  <c r="B102" i="10"/>
  <c r="H66" i="1"/>
  <c r="C70" i="10" s="1"/>
  <c r="B70"/>
  <c r="O65" i="6"/>
  <c r="H75" i="1"/>
  <c r="B79" i="10"/>
  <c r="O74" i="6"/>
  <c r="O77"/>
  <c r="B82" i="10"/>
  <c r="H78" i="1"/>
  <c r="C82" i="10" s="1"/>
  <c r="O55" i="6"/>
  <c r="H56" i="1"/>
  <c r="C60" i="10" s="1"/>
  <c r="B60"/>
  <c r="H67" i="1"/>
  <c r="C71" i="10" s="1"/>
  <c r="B71"/>
  <c r="O66" i="6"/>
  <c r="O69"/>
  <c r="H70" i="1"/>
  <c r="C74" i="10" s="1"/>
  <c r="B74"/>
  <c r="H64" i="1"/>
  <c r="C68" i="10" s="1"/>
  <c r="B68"/>
  <c r="O63" i="6"/>
  <c r="O80"/>
  <c r="H81" i="1"/>
  <c r="C85" i="10" s="1"/>
  <c r="B85"/>
  <c r="O96" i="6"/>
  <c r="H97" i="1"/>
  <c r="C101" i="10" s="1"/>
  <c r="B101"/>
  <c r="O109" i="6"/>
  <c r="H110" i="1"/>
  <c r="C114" i="10" s="1"/>
  <c r="B114"/>
  <c r="H109" i="1"/>
  <c r="C113" i="10" s="1"/>
  <c r="B113"/>
  <c r="O108" i="6"/>
  <c r="B76" i="10"/>
  <c r="O71" i="6"/>
  <c r="H72" i="1"/>
  <c r="C76" i="10" s="1"/>
  <c r="B39"/>
  <c r="H35" i="1"/>
  <c r="C39" i="10" s="1"/>
  <c r="O34" i="6"/>
  <c r="B40" i="10"/>
  <c r="H36" i="1"/>
  <c r="C40" i="10" s="1"/>
  <c r="O35" i="6"/>
  <c r="E265" i="11"/>
  <c r="F45" i="1" s="1"/>
  <c r="F46"/>
  <c r="H40"/>
  <c r="C44" i="10" s="1"/>
  <c r="H43" i="1" l="1"/>
  <c r="C47" i="10" s="1"/>
  <c r="O42" i="6"/>
  <c r="C16" i="10"/>
  <c r="I12" i="1"/>
  <c r="C10" i="15" s="1"/>
  <c r="G22" i="10"/>
  <c r="H18" i="3"/>
  <c r="C32" i="15" s="1"/>
  <c r="C20" i="10"/>
  <c r="C56"/>
  <c r="I52" i="1"/>
  <c r="C16" i="15" s="1"/>
  <c r="C72" i="10"/>
  <c r="I68" i="1"/>
  <c r="C18" i="15" s="1"/>
  <c r="C35" i="10"/>
  <c r="C79"/>
  <c r="I75" i="1"/>
  <c r="C20" i="15" s="1"/>
  <c r="G18" i="10"/>
  <c r="H13" i="3"/>
  <c r="C30" i="15" s="1"/>
  <c r="C103" i="10"/>
  <c r="I99" i="1"/>
  <c r="C22" i="15" s="1"/>
  <c r="G16" i="10"/>
  <c r="H10" i="3"/>
  <c r="C28" i="15" s="1"/>
  <c r="H22" i="3"/>
  <c r="C34" i="15" s="1"/>
  <c r="E297" i="11"/>
  <c r="E298"/>
  <c r="G27" i="10"/>
  <c r="A15" i="6"/>
  <c r="A17" i="1"/>
  <c r="A10" i="4"/>
  <c r="B50" i="10"/>
  <c r="O45" i="6"/>
  <c r="H46" i="1"/>
  <c r="C50" i="10" s="1"/>
  <c r="H45" i="1"/>
  <c r="C49" i="10" s="1"/>
  <c r="O44" i="6"/>
  <c r="B49" i="10"/>
  <c r="C35" i="15" l="1"/>
  <c r="G287" i="11"/>
  <c r="D48" i="1" s="1"/>
  <c r="C42" i="4" s="1"/>
  <c r="F298" i="11"/>
  <c r="E287" s="1"/>
  <c r="F48" i="1" s="1"/>
  <c r="B52" i="10" s="1"/>
  <c r="G285" i="11"/>
  <c r="D47" i="1" s="1"/>
  <c r="C41" i="4" s="1"/>
  <c r="F297" i="11"/>
  <c r="E285"/>
  <c r="F47" i="1" s="1"/>
  <c r="B51" i="10" s="1"/>
  <c r="F34"/>
  <c r="H34" s="1"/>
  <c r="C38" i="3"/>
  <c r="E38" s="1"/>
  <c r="A11" i="4"/>
  <c r="A16" i="6"/>
  <c r="A18" i="1"/>
  <c r="E144" i="11"/>
  <c r="F30" i="1" s="1"/>
  <c r="O47" i="6" l="1"/>
  <c r="H48" i="1"/>
  <c r="C52" i="10" s="1"/>
  <c r="H47" i="1"/>
  <c r="O46" i="6"/>
  <c r="A17"/>
  <c r="A19" i="1"/>
  <c r="A12" i="4"/>
  <c r="B34" i="10"/>
  <c r="O29" i="6"/>
  <c r="H30" i="1"/>
  <c r="C51" i="10" l="1"/>
  <c r="I31" i="1"/>
  <c r="C14" i="15" s="1"/>
  <c r="C34" i="10"/>
  <c r="I16" i="1"/>
  <c r="C12" i="15" s="1"/>
  <c r="A18" i="6"/>
  <c r="A13" i="4"/>
  <c r="A20" i="1"/>
  <c r="C117" i="10" l="1"/>
  <c r="C37" i="3" s="1"/>
  <c r="E37" s="1"/>
  <c r="E39" s="1"/>
  <c r="E41" s="1"/>
  <c r="C23" i="15"/>
  <c r="C40" s="1"/>
  <c r="A21" i="1"/>
  <c r="A19" i="6"/>
  <c r="A14" i="4"/>
  <c r="F33" i="10" l="1"/>
  <c r="H33" s="1"/>
  <c r="H35" s="1"/>
  <c r="H37" s="1"/>
  <c r="A22" i="1"/>
  <c r="A15" i="4"/>
  <c r="A20" i="6"/>
  <c r="A23" i="1" l="1"/>
  <c r="A21" i="6"/>
  <c r="A16" i="4"/>
  <c r="A22" i="6" l="1"/>
  <c r="A17" i="4"/>
  <c r="A24" i="1"/>
  <c r="A25" l="1"/>
  <c r="A23" i="6"/>
  <c r="A18" i="4"/>
  <c r="A26" i="1" l="1"/>
  <c r="A19" i="4"/>
  <c r="A24" i="6"/>
  <c r="A27" i="1" l="1"/>
  <c r="A25" i="6"/>
  <c r="A20" i="4"/>
  <c r="A26" i="6" l="1"/>
  <c r="A21" i="4"/>
  <c r="A28" i="1"/>
  <c r="A29" l="1"/>
  <c r="A27" i="6"/>
  <c r="A22" i="4"/>
  <c r="A30" i="1" l="1"/>
  <c r="A23" i="4"/>
  <c r="A28" i="6"/>
  <c r="A24" i="4" l="1"/>
  <c r="A29" i="6"/>
  <c r="A31" i="1"/>
  <c r="A32" l="1"/>
  <c r="A25" i="4"/>
  <c r="A30" i="6"/>
  <c r="A33" i="1" l="1"/>
  <c r="A31" i="6"/>
  <c r="A26" i="4"/>
  <c r="A32" i="6" l="1"/>
  <c r="A27" i="4"/>
  <c r="A34" i="1"/>
  <c r="A33" i="6" l="1"/>
  <c r="A28" i="4"/>
  <c r="A35" i="1"/>
  <c r="A34" i="6" l="1"/>
  <c r="A29" i="4"/>
  <c r="A36" i="1"/>
  <c r="A35" i="6" l="1"/>
  <c r="A37" i="1"/>
  <c r="A30" i="4"/>
  <c r="A38" i="1" l="1"/>
  <c r="A36" i="6"/>
  <c r="A31" i="4"/>
  <c r="A32" l="1"/>
  <c r="A37" i="6"/>
  <c r="A39" i="1"/>
  <c r="A40" l="1"/>
  <c r="A33" i="4"/>
  <c r="A38" i="6"/>
  <c r="A39" l="1"/>
  <c r="A34" i="4"/>
  <c r="A41" i="1"/>
  <c r="A42" l="1"/>
  <c r="A40" i="6"/>
  <c r="A35" i="4"/>
  <c r="A41" i="6" l="1"/>
  <c r="A36" i="4"/>
  <c r="A43" i="1"/>
  <c r="A37" i="4" l="1"/>
  <c r="A44" i="1"/>
  <c r="A42" i="6"/>
  <c r="A38" i="4" l="1"/>
  <c r="A45" i="1"/>
  <c r="A43" i="6"/>
  <c r="A39" i="4" l="1"/>
  <c r="A44" i="6"/>
  <c r="A46" i="1"/>
  <c r="A45" i="6" l="1"/>
  <c r="A40" i="4"/>
  <c r="A47" i="1"/>
  <c r="A46" i="6" l="1"/>
  <c r="A41" i="4"/>
  <c r="A48" i="1"/>
  <c r="A47" i="6" l="1"/>
  <c r="A49" i="1"/>
  <c r="A42" i="4"/>
  <c r="A43" l="1"/>
  <c r="A48" i="6"/>
  <c r="A50" i="1"/>
  <c r="A51" l="1"/>
  <c r="A49" i="6"/>
  <c r="A44" i="4"/>
  <c r="A52" i="1" l="1"/>
  <c r="A45" i="4"/>
  <c r="A50" i="6"/>
  <c r="A53" i="1" l="1"/>
  <c r="A51" i="6"/>
  <c r="A46" i="4"/>
  <c r="A47" l="1"/>
  <c r="A52" i="6"/>
  <c r="A54" i="1"/>
  <c r="A48" i="4" l="1"/>
  <c r="A55" i="1"/>
  <c r="A53" i="6"/>
  <c r="A49" i="4" l="1"/>
  <c r="A56" i="1"/>
  <c r="A54" i="6"/>
  <c r="A55" l="1"/>
  <c r="A50" i="4"/>
  <c r="A57" i="1"/>
  <c r="A56" i="6" l="1"/>
  <c r="A51" i="4"/>
  <c r="A58" i="1"/>
  <c r="A57" i="6" l="1"/>
  <c r="A59" i="1"/>
  <c r="A52" i="4"/>
  <c r="A53" l="1"/>
  <c r="A58" i="6"/>
  <c r="A60" i="1"/>
  <c r="A54" i="4" l="1"/>
  <c r="A59" i="6"/>
  <c r="A61" i="1"/>
  <c r="A55" i="4" l="1"/>
  <c r="A62" i="1"/>
  <c r="A60" i="6"/>
  <c r="A61" l="1"/>
  <c r="A63" i="1"/>
  <c r="A56" i="4"/>
  <c r="A57" l="1"/>
  <c r="A62" i="6"/>
  <c r="A64" i="1"/>
  <c r="A63" i="6" l="1"/>
  <c r="A58" i="4"/>
  <c r="A65" i="1"/>
  <c r="A66" l="1"/>
  <c r="A64" i="6"/>
  <c r="A59" i="4"/>
  <c r="A60" l="1"/>
  <c r="A65" i="6"/>
  <c r="A67" i="1"/>
  <c r="A66" i="6" l="1"/>
  <c r="A68" i="1"/>
  <c r="A61" i="4"/>
  <c r="A62" l="1"/>
  <c r="A67" i="6"/>
  <c r="A69" i="1"/>
  <c r="A70" l="1"/>
  <c r="A68" i="6"/>
  <c r="A63" i="4"/>
  <c r="A69" i="6" l="1"/>
  <c r="A64" i="4"/>
  <c r="A71" i="1"/>
  <c r="A70" i="6" l="1"/>
  <c r="A65" i="4"/>
  <c r="A72" i="1"/>
  <c r="A66" i="4" l="1"/>
  <c r="A71" i="6"/>
  <c r="A73" i="1"/>
  <c r="A72" i="6" l="1"/>
  <c r="A67" i="4"/>
  <c r="A74" i="1"/>
  <c r="A68" i="4" l="1"/>
  <c r="A73" i="6"/>
  <c r="A75" i="1"/>
  <c r="A74" i="6" l="1"/>
  <c r="A76" i="1"/>
  <c r="A69" i="4"/>
  <c r="A75" i="6" l="1"/>
  <c r="A77" i="1"/>
  <c r="A70" i="4"/>
  <c r="A78" i="1" l="1"/>
  <c r="A71" i="4"/>
  <c r="A76" i="6"/>
  <c r="A77" l="1"/>
  <c r="A79" i="1"/>
  <c r="A72" i="4"/>
  <c r="A73" l="1"/>
  <c r="A78" i="6"/>
  <c r="A80" i="1"/>
  <c r="A74" i="4" l="1"/>
  <c r="A81" i="1"/>
  <c r="A79" i="6"/>
  <c r="A75" i="4" l="1"/>
  <c r="A80" i="6"/>
  <c r="A82" i="1"/>
  <c r="A81" i="6" l="1"/>
  <c r="A76" i="4"/>
  <c r="A83" i="1"/>
  <c r="A77" i="4" l="1"/>
  <c r="A84" i="1"/>
  <c r="A82" i="6"/>
  <c r="A83" l="1"/>
  <c r="A78" i="4"/>
  <c r="A85" i="1"/>
  <c r="A79" i="4" l="1"/>
  <c r="A84" i="6"/>
  <c r="A86" i="1"/>
  <c r="A85" i="6" l="1"/>
  <c r="A87" i="1"/>
  <c r="A80" i="4"/>
  <c r="A88" i="1" l="1"/>
  <c r="A81" i="4"/>
  <c r="A86" i="6"/>
  <c r="A89" i="1" l="1"/>
  <c r="A87" i="6"/>
  <c r="A82" i="4"/>
  <c r="A88" i="6" l="1"/>
  <c r="A83" i="4"/>
  <c r="A90" i="1"/>
  <c r="A84" i="4" l="1"/>
  <c r="A89" i="6"/>
  <c r="A91" i="1"/>
  <c r="A85" i="4" l="1"/>
  <c r="A92" i="1"/>
  <c r="A90" i="6"/>
  <c r="A86" i="4" l="1"/>
  <c r="A93" i="1"/>
  <c r="A91" i="6"/>
  <c r="A92" l="1"/>
  <c r="A87" i="4"/>
  <c r="A94" i="1"/>
  <c r="A88" i="4" l="1"/>
  <c r="A93" i="6"/>
  <c r="A95" i="1"/>
  <c r="A89" i="4" l="1"/>
  <c r="A94" i="6"/>
  <c r="A96" i="1"/>
  <c r="A90" i="4" l="1"/>
  <c r="A95" i="6"/>
  <c r="A97" i="1"/>
  <c r="A91" i="4" l="1"/>
  <c r="A96" i="6"/>
  <c r="A98" i="1"/>
  <c r="A97" i="6" l="1"/>
  <c r="A92" i="4"/>
  <c r="A99" i="1"/>
  <c r="A98" i="6" l="1"/>
  <c r="A93" i="4"/>
  <c r="A100" i="1"/>
  <c r="A99" i="6" l="1"/>
  <c r="A94" i="4"/>
  <c r="A101" i="1"/>
  <c r="A102" l="1"/>
  <c r="A95" i="4"/>
  <c r="A100" i="6"/>
  <c r="A101" l="1"/>
  <c r="A96" i="4"/>
  <c r="A103" i="1"/>
  <c r="A104" l="1"/>
  <c r="A97" i="4"/>
  <c r="A102" i="6"/>
  <c r="A103" l="1"/>
  <c r="A98" i="4"/>
  <c r="A105" i="1"/>
  <c r="A106" l="1"/>
  <c r="A99" i="4"/>
  <c r="A104" i="6"/>
  <c r="A105" l="1"/>
  <c r="A100" i="4"/>
  <c r="A107" i="1"/>
  <c r="A108" l="1"/>
  <c r="A101" i="4"/>
  <c r="A106" i="6"/>
  <c r="A107" l="1"/>
  <c r="A102" i="4"/>
  <c r="A109" i="1"/>
  <c r="A110" l="1"/>
  <c r="A103" i="4"/>
  <c r="A108" i="6"/>
  <c r="A109" l="1"/>
  <c r="A104" i="4"/>
  <c r="A111" i="1"/>
  <c r="A110" i="6" l="1"/>
  <c r="A105" i="4"/>
  <c r="O16" i="10"/>
  <c r="M10" i="7"/>
  <c r="P16" i="10" s="1"/>
  <c r="P27" s="1"/>
  <c r="F43" s="1"/>
  <c r="H43" s="1"/>
  <c r="H44" l="1"/>
  <c r="H46" s="1"/>
</calcChain>
</file>

<file path=xl/sharedStrings.xml><?xml version="1.0" encoding="utf-8"?>
<sst xmlns="http://schemas.openxmlformats.org/spreadsheetml/2006/main" count="1543" uniqueCount="1064">
  <si>
    <t>Skor</t>
  </si>
  <si>
    <t>na</t>
  </si>
  <si>
    <t>nb</t>
  </si>
  <si>
    <t>nc</t>
  </si>
  <si>
    <t>Hasil asesmen kecukupan</t>
  </si>
  <si>
    <t>Rekap Asesmen Kecukupan</t>
  </si>
  <si>
    <t>Rekap Asesmen Lapangan</t>
  </si>
  <si>
    <t>HASIL  ASESMEN KECUKUPAN</t>
  </si>
  <si>
    <t>HASIL ASESMEN LAPANGAN</t>
  </si>
  <si>
    <t>KETERANGAN</t>
  </si>
  <si>
    <t>NILAI</t>
  </si>
  <si>
    <t>juta</t>
  </si>
  <si>
    <t>Dana yang diperoleh dalam rangka pelayanan/pengabdian kepada masyarakat dalam tiga  tahun terakhir.</t>
  </si>
  <si>
    <t>Ket.</t>
  </si>
  <si>
    <t>Berita acara visitasi ini ditandatangani oleh Asesor dan Ketua Program Studi. Setelah isi tabel tersebut di atas diperiksa  dan disetujui oleh Ketua Program Studi.</t>
  </si>
  <si>
    <t>Asesor Ke-:</t>
  </si>
  <si>
    <t>Berdasarkan hasil asesmen lapangan, penilaian untuk setiap butir, dasar penilaian, dan rekomendasi pembinaan disajikan pada tabel berikut.</t>
  </si>
  <si>
    <t>3.2.1.1</t>
  </si>
  <si>
    <t>3.2.1.2</t>
  </si>
  <si>
    <t>4.3.1.1</t>
  </si>
  <si>
    <t>4.3.1.2</t>
  </si>
  <si>
    <t>4.3.1.3</t>
  </si>
  <si>
    <t>5.2.1</t>
  </si>
  <si>
    <t>5.2.2</t>
  </si>
  <si>
    <t>5.2.3</t>
  </si>
  <si>
    <t>5.3.1</t>
  </si>
  <si>
    <t>6.2.4</t>
  </si>
  <si>
    <t>6.3.4</t>
  </si>
  <si>
    <t>7.1.6</t>
  </si>
  <si>
    <t>2.1.1</t>
  </si>
  <si>
    <t>2.1.2</t>
  </si>
  <si>
    <t>2.4.1</t>
  </si>
  <si>
    <t>2.4.2</t>
  </si>
  <si>
    <t>6.1.1</t>
  </si>
  <si>
    <t>6.1.2</t>
  </si>
  <si>
    <t>7.3.3</t>
  </si>
  <si>
    <t>Skor akhir</t>
  </si>
  <si>
    <t>nilai*bbt</t>
  </si>
  <si>
    <t>REKAPITULASI NILAI ASESMEN KECUKUPAN DAN ASESMEN LAPANGAN</t>
  </si>
  <si>
    <r>
      <t xml:space="preserve">Dari Penilaian </t>
    </r>
    <r>
      <rPr>
        <b/>
        <u/>
        <sz val="12"/>
        <color indexed="8"/>
        <rFont val="Arial"/>
        <family val="2"/>
      </rPr>
      <t>Perorangan Asesor</t>
    </r>
  </si>
  <si>
    <t>Tanggal Penilaian</t>
  </si>
  <si>
    <t>No.</t>
  </si>
  <si>
    <t>Aspek Penilaian</t>
  </si>
  <si>
    <t>Informasi dari Borang PS</t>
  </si>
  <si>
    <t>Bobot</t>
  </si>
  <si>
    <t>4.2.1</t>
  </si>
  <si>
    <t>4.2.2</t>
  </si>
  <si>
    <t>4.3.2</t>
  </si>
  <si>
    <t>4.5.2</t>
  </si>
  <si>
    <t>4.6.2</t>
  </si>
  <si>
    <t>5.3.2</t>
  </si>
  <si>
    <t>6.2.1</t>
  </si>
  <si>
    <t>6.2.2</t>
  </si>
  <si>
    <t>Dana penelitian dalam tiga tahun terakhir.</t>
  </si>
  <si>
    <t>6.2.3</t>
  </si>
  <si>
    <t>6.3.1</t>
  </si>
  <si>
    <t>6.3.2</t>
  </si>
  <si>
    <t>6.3.3</t>
  </si>
  <si>
    <t>Aksesibilitas data dalam sistem informasi.</t>
  </si>
  <si>
    <t>7.1.2</t>
  </si>
  <si>
    <t>7.1.3</t>
  </si>
  <si>
    <t>7.1.4</t>
  </si>
  <si>
    <t>7.2.1</t>
  </si>
  <si>
    <t>7.2.2</t>
  </si>
  <si>
    <t>7.3.1</t>
  </si>
  <si>
    <t>7.3.2</t>
  </si>
  <si>
    <r>
      <t xml:space="preserve">Penilaian Dokumen </t>
    </r>
    <r>
      <rPr>
        <b/>
        <u/>
        <sz val="12"/>
        <color indexed="8"/>
        <rFont val="Arial"/>
        <family val="2"/>
      </rPr>
      <t>Perorangan</t>
    </r>
  </si>
  <si>
    <t>Asr-1</t>
  </si>
  <si>
    <t>Asr-2</t>
  </si>
  <si>
    <t>Nilai Akhir</t>
  </si>
  <si>
    <t>Akurasi dan kelengkapan data serta informasi yang digunakan untuk menyusun laporan evaluasi-diri</t>
  </si>
  <si>
    <t>Pengolahan data menjadi informasi yang bermanfaat, a.l. menggunakan metode-metode kuantitatif yang tepat, serta teknik representasi yang relevan.</t>
  </si>
  <si>
    <t>Kualitas analisis yang digunakan untuk mengidentifikasi dan merumuskan masalah pada semua komponen evaluasi-diri.</t>
  </si>
  <si>
    <t xml:space="preserve">Identifikasi dan perumusan masalah dilakukan dengan baik.  </t>
  </si>
  <si>
    <t>Permasalahan dan kelemahan yang ada dirumuskan dengan baik.</t>
  </si>
  <si>
    <t>Deskripsi/Analisis SWOT berkenaan dengan ketepatan penempatan aspek dalam komponen SWOT, tumpuan penekanan analisis.</t>
  </si>
  <si>
    <t>Strategi pengembangan dan perbaikan program</t>
  </si>
  <si>
    <t xml:space="preserve">Kelayakan dan kerealistikan strategi dan sasaran yang ingin dicapai. </t>
  </si>
  <si>
    <t>Keterpaduan dan keterkaitan antar komponen evaluasi-diri</t>
  </si>
  <si>
    <t>Komprehensif (dalam, luas dan terpadu).</t>
  </si>
  <si>
    <t>Kejelasan analisis intra dan antar komponen evaluasi-diri.</t>
  </si>
  <si>
    <t>Dari kegiatan tersebut diperoleh informasi butir-butir borang yang sesuai/tidak sesuai dengan kenyataan, dengan penjelasan sebagai tercantum di dalam daftar sebagai berikut.</t>
  </si>
  <si>
    <t>Catatan: *Coret yang tidak perlu</t>
  </si>
  <si>
    <t>atau yang Ditugaskan</t>
  </si>
  <si>
    <t>Penjelasan/Dasar Penilaian yang Diperoleh dari Dokumen Borang, Wawancara, dan Observasi</t>
  </si>
  <si>
    <t>Rekomendasi Pembinaan</t>
  </si>
  <si>
    <t>Penjelasan/Dasar Penilaian yang Diperoleh dari Dokumen ED dan Observasi</t>
  </si>
  <si>
    <t>Standar 4. Sumber Daya Manusia</t>
  </si>
  <si>
    <t>Standar 5. Kurikulum, Pembelajaran, dan Suasana Akademik</t>
  </si>
  <si>
    <t xml:space="preserve">           </t>
  </si>
  <si>
    <t>Nilai</t>
  </si>
  <si>
    <t>f</t>
  </si>
  <si>
    <t>A</t>
  </si>
  <si>
    <t>B</t>
  </si>
  <si>
    <t>Na</t>
  </si>
  <si>
    <t>Nb</t>
  </si>
  <si>
    <t>Nc</t>
  </si>
  <si>
    <t>N</t>
  </si>
  <si>
    <t>nilaiXbobot (tidak diprint)</t>
  </si>
  <si>
    <t>NO URUT</t>
  </si>
  <si>
    <t>Nilaixbobot (tidak diprint)</t>
  </si>
  <si>
    <t>1.b</t>
  </si>
  <si>
    <t>1.a</t>
  </si>
  <si>
    <t>2.a</t>
  </si>
  <si>
    <t>2.b</t>
  </si>
  <si>
    <t>2.c</t>
  </si>
  <si>
    <t>2.d</t>
  </si>
  <si>
    <t>3.a</t>
  </si>
  <si>
    <t>3.b</t>
  </si>
  <si>
    <t>3.c</t>
  </si>
  <si>
    <t>4.a</t>
  </si>
  <si>
    <t>4.b</t>
  </si>
  <si>
    <t>Jmlh</t>
  </si>
  <si>
    <t>Nxbobot</t>
  </si>
  <si>
    <t>NilaiXbobot (tdk di print)</t>
  </si>
  <si>
    <t>Nilai Desk (Untuk Pertimbangan)</t>
  </si>
  <si>
    <t xml:space="preserve"> </t>
  </si>
  <si>
    <t>Standar 1. Visi, Misi, Tujuan dan Sasaran, serta Strategi Pencapaian</t>
  </si>
  <si>
    <t>Standar 2. Tata Pamong, Kepemimpinan, Sistem Pengelolaan,  dan Penjaminan Mutu</t>
  </si>
  <si>
    <t>Standar 3. Mahasiswa dan Lulusan</t>
  </si>
  <si>
    <t>Standar 6.  Pembiayaan, Sarana dan Prasarana, serta Sistem Informasi</t>
  </si>
  <si>
    <t>Standar 7. Penelitian, Pelayanan/Pengabdian Kepada Masyarakat, dan Kerjasama</t>
  </si>
  <si>
    <t>Visi, misi jelas …</t>
  </si>
  <si>
    <t xml:space="preserve">Skor kejelasan (1 - 4) </t>
  </si>
  <si>
    <t>Skor kerealistikan (1 - 4)</t>
  </si>
  <si>
    <t>Skor keterkaitan (1 - 4)</t>
  </si>
  <si>
    <t>Skor keterlibatan pemangku kepentingan (1 - 4)</t>
  </si>
  <si>
    <t>SEL YANG HARUS DI ISI HANYA SEL YANG BERWARNA KUNING</t>
  </si>
  <si>
    <t>abcdkfo</t>
  </si>
  <si>
    <t>dfs</t>
  </si>
  <si>
    <t>sdfs</t>
  </si>
  <si>
    <t xml:space="preserve">NO. </t>
  </si>
  <si>
    <t>BUTIR</t>
  </si>
  <si>
    <t>Penilaian</t>
  </si>
  <si>
    <t>VMT sangat jelas</t>
  </si>
  <si>
    <t>Rentang waktu ada</t>
  </si>
  <si>
    <t>Universitas …..</t>
  </si>
  <si>
    <t>LIHAT</t>
  </si>
  <si>
    <t>INPUT DATA</t>
  </si>
  <si>
    <t>BERITA ACARA</t>
  </si>
  <si>
    <t>…….</t>
  </si>
  <si>
    <t>……..</t>
  </si>
  <si>
    <t>F2 (ED)</t>
  </si>
  <si>
    <t>Nilai  
Desk</t>
  </si>
  <si>
    <t>Kejelasan,  kerealistikan, dan keterkaitan antara visi, misi, tujuan,  sasaran perguruan tinggi, dan pemangku kepentingan yang terlibat.</t>
  </si>
  <si>
    <t>INFORMASI DARI BORANG 
PERGURUAN TINGGI</t>
  </si>
  <si>
    <t>BORANG INSTITUSI PERGURUAN TINGGI</t>
  </si>
  <si>
    <r>
      <t>Perguruan tinggi menetapkan tonggak-tonggak capaian (</t>
    </r>
    <r>
      <rPr>
        <i/>
        <sz val="10"/>
        <color indexed="8"/>
        <rFont val="Arial"/>
        <family val="2"/>
      </rPr>
      <t>milestones</t>
    </r>
    <r>
      <rPr>
        <sz val="10"/>
        <color indexed="8"/>
        <rFont val="Arial"/>
        <family val="2"/>
      </rPr>
      <t>) tujuan sebagai penjabaran atau pelaksanaan renstra, serta mekanisme kontrol ketercapaiannya</t>
    </r>
  </si>
  <si>
    <t>Skor tonggak-tonggak pencapaian (1 - 4)</t>
  </si>
  <si>
    <t>Skor rumusan tujuan yang akan dicapai (1 - 4)</t>
  </si>
  <si>
    <t>1.3.1</t>
  </si>
  <si>
    <t>1.3.2</t>
  </si>
  <si>
    <t>Sosialisasi visi dan misi  perguruan tinggi dilaksanakan secara sistematis dan berkelanjutan kepada pemangku kepentingan</t>
  </si>
  <si>
    <t>Disosialisasikan  secara sistematis dan berkelanjutan kepada semua pemangku kepentingan, internal maupun eksternal.</t>
  </si>
  <si>
    <t>Disosialisasikan secara sistematis dan berkelanjutan kepada semua pemangku kepentingan internal.</t>
  </si>
  <si>
    <t xml:space="preserve">Disosialisasikan hanya kepada jajaran pimpinan unit-unit organisasi di dalam perguruan tinggi. </t>
  </si>
  <si>
    <t>Tidak disosialisasikan</t>
  </si>
  <si>
    <t>Visi dan misi perguruan tinggi dijadikan pedoman, panduan, dan rambu-rambu bagi semua pemangku kepentingan internal serta dijadikan acuan pelaksanaan renstra, keterwujudan visi, keterlaksanaan misi, ketercapaian tujuan melalui strategi-strategi yang dikembangkan.</t>
  </si>
  <si>
    <t>Visi dan misi  dipahami dengan baik dan dijadikan acuan penjabaran renstra pada semua tingkat unit kerja.</t>
  </si>
  <si>
    <t xml:space="preserve">Visi dan misi dipahami dengan baik dan dijadikan acuan penjabaran renstra pada sebagian besar  unit kerja </t>
  </si>
  <si>
    <t xml:space="preserve">Visi dan misi dipahami dengan baik dan dijadikan acuan penjabaran renstra pada sebagian sebagian kecil  unit kerja </t>
  </si>
  <si>
    <t xml:space="preserve">Visi dan misi tidak dipahami dan atau tidak dijadikan acuan penjabaran renstra maupun pedoman bagi semua pemangku kepentingan internal. </t>
  </si>
  <si>
    <t>dsfsd</t>
  </si>
  <si>
    <t>sfd</t>
  </si>
  <si>
    <t>sdfd</t>
  </si>
  <si>
    <t>dsfs</t>
  </si>
  <si>
    <t>sdf</t>
  </si>
  <si>
    <t>sd</t>
  </si>
  <si>
    <t>asa</t>
  </si>
  <si>
    <t>qw</t>
  </si>
  <si>
    <t>ytj</t>
  </si>
  <si>
    <t>ty</t>
  </si>
  <si>
    <t>tyr</t>
  </si>
  <si>
    <t>yuk</t>
  </si>
  <si>
    <t>uytit</t>
  </si>
  <si>
    <t>reter</t>
  </si>
  <si>
    <t>erger</t>
  </si>
  <si>
    <t>ergre</t>
  </si>
  <si>
    <t>ertge</t>
  </si>
  <si>
    <t>ewf</t>
  </si>
  <si>
    <t>werw</t>
  </si>
  <si>
    <t>we</t>
  </si>
  <si>
    <t>4w22</t>
  </si>
  <si>
    <t>wr3e</t>
  </si>
  <si>
    <t>re</t>
  </si>
  <si>
    <t>erre</t>
  </si>
  <si>
    <t>Memenuhi semua lima pilar:  kredibel, transparan, akuntabel, bertanggung jawab, dan adil</t>
  </si>
  <si>
    <t>Memenuhi empat dari lima pilar:  kredibel, transparan, akuntabel, bertanggung jawab, dan adil</t>
  </si>
  <si>
    <t>Memenuhi tiga dari lima pilar:  kredibel, transparan, akuntabel, bertanggung jawab, dan adil</t>
  </si>
  <si>
    <t>Memenuhi satu s.d. dua dari lima pilar:  kredibel, transparan, akuntabel, bertanggung jawab, dan adil</t>
  </si>
  <si>
    <t xml:space="preserve">Kelengkapan dan keefektifan struktur organisasi yang disesuaikan  dengan kebutuhan penyelenggaraan dan pengembangan perguruan tinggi yang bermutu. Organ dalam struktur organisasi: (1) pimpinan institusi,
(2) senat perguruan tinggi/senat akademik, (3) satuan pengawasan,
(4) dewan pertimbangan, (5) pelaksana kegiatan akademik,
(6) pelaksana administrasi, pelayanan dan pendukung, (7) pelaksana penjaminan mutu, dan (8) unit perencana dan pengembangan tridarma
</t>
  </si>
  <si>
    <t xml:space="preserve">Meliputi 8 organ dan dilengkapi dengan deskripsi tertulis yang jelas tentang tugas, fungsi, wewenang, dan tanggung jawab. </t>
  </si>
  <si>
    <t xml:space="preserve">Meliputi 6 organ pertama dan 1 dari 2 organ lainnya, dilengkapi dengan deskripsi tertulis yang jelas tentang tugas, fungsi, wewenang, dan tanggung jawab. </t>
  </si>
  <si>
    <t xml:space="preserve">Meliputi hanya 6 organ pertama, dilengkapi dengan deskripsi tertulis yang jelas tentang tugas, fungsi, wewenang, dan tanggung jawab. </t>
  </si>
  <si>
    <t>Lima organ pertama dalam struktur organisasi tidak lengkap.</t>
  </si>
  <si>
    <t>2.1.3</t>
  </si>
  <si>
    <t>Keberadaan lembaga, mutu, SOP, dan efektifitas pelaksanaan kode etik.</t>
  </si>
  <si>
    <t>(1) Tidak ada lembaga khusus, (2) hanya mencakup masalah akademik (termasuk penelitian dan karya ilmiah), disiplin, (3) SOP tidak ada.</t>
  </si>
  <si>
    <t>Tidak ada wadah kelembagaan kode etik.</t>
  </si>
  <si>
    <t>Kepemimpinan yang efektif tiga karakteristik: (1) kepemimpinan operasional, (2) kepemimpinan organisasi, dan (3) kepemimpinan publik</t>
  </si>
  <si>
    <t>Memiliki tiga karakteristik</t>
  </si>
  <si>
    <t>Memiliki dua dari tiga karakteristik</t>
  </si>
  <si>
    <t>Memiliki satu dari tiga karakteristik</t>
  </si>
  <si>
    <t>2.3.1</t>
  </si>
  <si>
    <t>Mencakup semua (lima) fungsi pengelolaan yang dilaksanakan secara efektif.</t>
  </si>
  <si>
    <t>Mencakup empat dari lima fungsi pengelolaan yang dilaksanakan secara efektif.</t>
  </si>
  <si>
    <t>Sistem pengelolaan fungsional dan operasional perguruan tinggi mencakup lima fungsi pengelolaan (planning,  organizing,  staffing, leading, dan controlling), yang dilaksanakan secara efektif untuk mewujudkan visi dan melaksanakan misi perguruan tinggi.</t>
  </si>
  <si>
    <t>Mencakup tiga dari lima fungsi pengelolaan yang dilaksanakan secara efektif.</t>
  </si>
  <si>
    <t>Mencakup satu atau dua dari lima fungsi pengelolaan yang dilaksanakan secara efektif.</t>
  </si>
  <si>
    <t>Tidak memiliki satupun karakteristik di atas</t>
  </si>
  <si>
    <t>2.3.2</t>
  </si>
  <si>
    <t>Perguruan tinggi memiliki analisis jabatan, deskripsi tugas, program peningkatan kompetensi manajerial yang menjamin terjadinya proses pengelolaan yang efektif dan efisien di setiap unit kerja.</t>
  </si>
  <si>
    <t>2.3.3</t>
  </si>
  <si>
    <t>Diseminasi hasil kerja perguruan tinggi sebagai akuntabilitas publik, serta keberkalaannya.</t>
  </si>
  <si>
    <t>Keberadaan dan keefektifan sistem audit internal, dilengkapi dengan kriteria dan instrumen penilaian serta menggunakannya untuk mengukur kinerja setiap unit kerja, serta diseminasi hasilnya.</t>
  </si>
  <si>
    <t>2.3.4</t>
  </si>
  <si>
    <t>Memiliki kriteria dan instrumen penilaian, menggunakannya untuk mengukur kinerja tiap unit, dan hasilnya digunakan tetapi tidak didiseminasikan.</t>
  </si>
  <si>
    <t>Memiliki kriteria dan instrumen penilaian, menggunakannya untuk mengukur kinerja tiap unit tetapi hasilnya tidak digunakan serta tidak didiseminasikan.</t>
  </si>
  <si>
    <t>Tidak memiliki kriteria dan instrumen penilaian untuk mengukur kinerja unit kerjanya.</t>
  </si>
  <si>
    <t>2.3.5</t>
  </si>
  <si>
    <t>Keberadaan dan keefektifan sistem audit eksternal, dilengkapi dengan kriteria dan instrumen penilaian serta menggunakannya untuk mengukur kinerja perguruan tinggi.</t>
  </si>
  <si>
    <t>Perguruan tinggi menjalankan sistem penjaminan mutu yang didukung dengan adanya bukti-bukti  berupa manual mutu, dan pelaksanaannya.</t>
  </si>
  <si>
    <t>Tidak ada manual mutu.</t>
  </si>
  <si>
    <t>Implementasi penjaminan mutu.</t>
  </si>
  <si>
    <t>Penjaminan mutu sudah berjalan di seluruh unit kerja yang mencakup siklus perencanaan, pelaksanaan, analisis dan evaluasi, tindakan perbaikan yang dibuktikan dalam bentuk laporan monev dan audit.</t>
  </si>
  <si>
    <t>Penjaminan mutu sudah berjalan tetapi tidak di seluruh  unit kerja yang mencakup siklus perencanaan, pelaksanaan, analisis dan evaluasi, tindakan perbaikan yang dibuktikan dalam bentuk laporan monev dan audit.</t>
  </si>
  <si>
    <t>Penjaminan mutu sudah berjalan yang mencakup siklus perencanaan, pelaksanaan, analisis dan evaluasi, tindakan perbaikan tetapi tidak ada bukti dalam bentuk laporan monev dan audit.</t>
  </si>
  <si>
    <t>Tidak ada pelaksanaan penjaminan mutu.</t>
  </si>
  <si>
    <t>2.4.3</t>
  </si>
  <si>
    <t>Monitoring dan evaluasi hasil penjaminan mutu di bidang pendidikan, penelitian, pelayanan/pengabdian kepada masyarakat, sarana prasarana, keuangan, manajemen, serta tindak lanjutnya.</t>
  </si>
  <si>
    <t xml:space="preserve">Pelaksanaan dan pencapaian sasaran penjaminan mutu minimal di bidang (1) pendidikan, (2) penelitian, (3) PkM, terdokumentasi dan disosialisasikan dengan baik, serta ditindaklanjuti.  
</t>
  </si>
  <si>
    <r>
      <t xml:space="preserve">Pelaksanaan dan pencapaian sasaran penjaminan mutu minimal di bidang (1) pendidikan, (2) penelitian, (3) PkM, terdokumentasi tetapi </t>
    </r>
    <r>
      <rPr>
        <b/>
        <sz val="10"/>
        <rFont val="Arial"/>
        <family val="2"/>
      </rPr>
      <t>tidak disosialisasikan</t>
    </r>
    <r>
      <rPr>
        <sz val="10"/>
        <rFont val="Arial"/>
        <family val="2"/>
      </rPr>
      <t xml:space="preserve"> dengan baik.  
</t>
    </r>
  </si>
  <si>
    <t>Tidak ada hasil monitoring sasaran penjaminan mutu.</t>
  </si>
  <si>
    <t>2.4.4</t>
  </si>
  <si>
    <t xml:space="preserve">Perguruan tinggi memiliki sistem pembinaan program studi yang mencakup: (1) pengembangan program studi, (2)  penyusunan dokumen akreditasi dalam bentuk pelatihan, dana, dan informasi.
</t>
  </si>
  <si>
    <t xml:space="preserve">Perguruan tinggi memberikan pembinaan baik dalam:
(1) pengembangan program studi, (2)  penyusunan dokumen akreditasi dalam bentuk pelatihan, dana, dan informasi.
</t>
  </si>
  <si>
    <t xml:space="preserve">Perguruan tinggi memberikan pembinaan cukup dalam:
(1) pengembangan program studi, (2)  penyusunan dokumen akreditasi dalam bentuk pelatihan, dana, dan informasi.
</t>
  </si>
  <si>
    <t xml:space="preserve">Perguruan tinggi memberikan pembinaan kurang dalam:
(1) pengembangan program studi, (2)  penyusunan dokumen akreditasi dalam bentuk pelatihan, dana, dan informasi.
</t>
  </si>
  <si>
    <t>Perguruan tinggi tidak memiliki sistem pembinaan program studi.</t>
  </si>
  <si>
    <t>2.4.5</t>
  </si>
  <si>
    <t>2.4.6</t>
  </si>
  <si>
    <t>Kelengkapan dan aksesibilitas sistem basis data institusi yang mendukung penyusunan evaluasi diri institusi dan program studi.</t>
  </si>
  <si>
    <r>
      <t xml:space="preserve">Basis data lengkap mencakup informasi tentang tujuh standar akreditasi, untuk penyusunan dokumen evaluasi diri institusi maupun program studi, namun </t>
    </r>
    <r>
      <rPr>
        <b/>
        <sz val="10"/>
        <color indexed="8"/>
        <rFont val="Arial"/>
        <family val="2"/>
      </rPr>
      <t>kurang mudah</t>
    </r>
    <r>
      <rPr>
        <sz val="10"/>
        <color indexed="8"/>
        <rFont val="Arial"/>
        <family val="2"/>
      </rPr>
      <t xml:space="preserve"> diakses.</t>
    </r>
  </si>
  <si>
    <r>
      <t xml:space="preserve">Basis data lengkap mencakup informasi tentang tujuh standar akreditasi, untuk penyusunan dokumen evaluasi diri institusi maupun program studi, namun </t>
    </r>
    <r>
      <rPr>
        <b/>
        <sz val="10"/>
        <color indexed="8"/>
        <rFont val="Arial"/>
        <family val="2"/>
      </rPr>
      <t>sulit</t>
    </r>
    <r>
      <rPr>
        <sz val="10"/>
        <color indexed="8"/>
        <rFont val="Arial"/>
        <family val="2"/>
      </rPr>
      <t xml:space="preserve"> diakses</t>
    </r>
  </si>
  <si>
    <r>
      <t xml:space="preserve">Basis data lengkap mencakup informasi tentang tujuh standar akreditasi untuk penyusunan dokumen evaluasi diri institusi maupun program studi, dan dapat diakses dengan </t>
    </r>
    <r>
      <rPr>
        <b/>
        <sz val="10"/>
        <color indexed="8"/>
        <rFont val="Arial"/>
        <family val="2"/>
      </rPr>
      <t>mudah</t>
    </r>
    <r>
      <rPr>
        <sz val="10"/>
        <color indexed="8"/>
        <rFont val="Arial"/>
        <family val="2"/>
      </rPr>
      <t>.</t>
    </r>
  </si>
  <si>
    <t xml:space="preserve">Basis data kurang lengkap. </t>
  </si>
  <si>
    <t>Tidak memiliki basis data.</t>
  </si>
  <si>
    <r>
      <t>N</t>
    </r>
    <r>
      <rPr>
        <vertAlign val="subscript"/>
        <sz val="10"/>
        <color indexed="8"/>
        <rFont val="Arial"/>
        <family val="2"/>
      </rPr>
      <t>A</t>
    </r>
  </si>
  <si>
    <t>Jumlah program studi dengan status akreditasi B</t>
  </si>
  <si>
    <t>Jumlah program studi dengan status akreditasi A</t>
  </si>
  <si>
    <r>
      <t>N</t>
    </r>
    <r>
      <rPr>
        <vertAlign val="subscript"/>
        <sz val="10"/>
        <color indexed="8"/>
        <rFont val="Arial"/>
        <family val="2"/>
      </rPr>
      <t>B</t>
    </r>
  </si>
  <si>
    <t>Jumlah program studi dengan status akreditasi C</t>
  </si>
  <si>
    <r>
      <t>N</t>
    </r>
    <r>
      <rPr>
        <vertAlign val="subscript"/>
        <sz val="10"/>
        <color indexed="8"/>
        <rFont val="Arial"/>
        <family val="2"/>
      </rPr>
      <t>C</t>
    </r>
  </si>
  <si>
    <t>Jumlah program studi yang status akreditasinya kadaluwarsa</t>
  </si>
  <si>
    <r>
      <t>N</t>
    </r>
    <r>
      <rPr>
        <vertAlign val="subscript"/>
        <sz val="10"/>
        <color indexed="8"/>
        <rFont val="Arial"/>
        <family val="2"/>
      </rPr>
      <t>K</t>
    </r>
  </si>
  <si>
    <t>Jumlah program studi yang belum terakreditasi</t>
  </si>
  <si>
    <r>
      <t>N</t>
    </r>
    <r>
      <rPr>
        <vertAlign val="subscript"/>
        <sz val="10"/>
        <color indexed="8"/>
        <rFont val="Arial"/>
        <family val="2"/>
      </rPr>
      <t>O</t>
    </r>
  </si>
  <si>
    <t>3.1.1</t>
  </si>
  <si>
    <t>Sistem penerimaan  mahasiswa baru memuat unsur-unsur : (1) kebijakan, (2) kriteria, (3) prosedur, (4) instrumen, (5) sistem pengambilan keputusan dan konsistensi pelaksanaannya.</t>
  </si>
  <si>
    <t>Memuat ke lima unsur dan dilaksanakan dengan konsisten</t>
  </si>
  <si>
    <t>Hanya empat yang dilaksanakan secara konsisten</t>
  </si>
  <si>
    <t>Hanya tiga yang dilaksanakan secara konsisten</t>
  </si>
  <si>
    <t>Hanya satu atau dua yang dilaksanakan secara konsisten</t>
  </si>
  <si>
    <t xml:space="preserve">Pelaksanaan dan pencapaian sasaran penjaminan mutu di bidang (1) pendidikan, (2) penelitian, (3) PkM, (4) sarana prasarana, (5) keuangan, (6) manajemen, terdokumentasi dan disosialisasikan dengan baik, serta ditindaklanjuti.  
</t>
  </si>
  <si>
    <t>3.1.2</t>
  </si>
  <si>
    <t xml:space="preserve">Sistem penerimaan mahasiswa baru yang  memberikan peluang dan menerima mahasiswa yang memiliki potensi akademik namun kurang mampu secara ekonomi dan/atau cacat fisik disertai bukti implementasi sistem tsb. berupa ketersediaan sarana dan prasarana penunjang </t>
  </si>
  <si>
    <t>Perguruan tinggi memiliki  tata pamong yang memungkinkan terlaksananya secara konsisten prinsip-prinsip tata pamong, terutama yang terkait dengan pelaku tata pamong (aktor)  dan sistem ketatapamongan yang baik (kelembagaan, instrumen, perangkat pendukung, kebijakan dan peraturan, serta kode etik) dengan pemenuhan lima pilar: (1) kredibel, (2) transparan, (3) akuntabel, (4) bertanggung jawab, dan (5) adil</t>
  </si>
  <si>
    <r>
      <t xml:space="preserve">Ditemukan sistem yang memberikan peluang dan menerima mahasiswa yang memiliki potensi akademik tetapi tidak mampu secara ekonomi </t>
    </r>
    <r>
      <rPr>
        <b/>
        <sz val="10"/>
        <color indexed="8"/>
        <rFont val="Arial"/>
        <family val="2"/>
      </rPr>
      <t>dan</t>
    </r>
    <r>
      <rPr>
        <sz val="10"/>
        <color indexed="8"/>
        <rFont val="Arial"/>
        <family val="2"/>
      </rPr>
      <t xml:space="preserve"> cacat fisik</t>
    </r>
    <r>
      <rPr>
        <b/>
        <sz val="10"/>
        <color indexed="8"/>
        <rFont val="Arial"/>
        <family val="2"/>
      </rPr>
      <t xml:space="preserve"> </t>
    </r>
    <r>
      <rPr>
        <sz val="10"/>
        <color indexed="8"/>
        <rFont val="Arial"/>
        <family val="2"/>
      </rPr>
      <t xml:space="preserve">dan bukti implementasi sistem tsb. yang ditunjang oleh fasilitas yang </t>
    </r>
    <r>
      <rPr>
        <b/>
        <sz val="10"/>
        <color indexed="8"/>
        <rFont val="Arial"/>
        <family val="2"/>
      </rPr>
      <t>sangat lengkap</t>
    </r>
  </si>
  <si>
    <r>
      <t xml:space="preserve">Ditemukan sistem yang memberikan peluang dan menerima mahasiswa yang memiliki potensi akademik tetapi tidak mampu secara ekonomi </t>
    </r>
    <r>
      <rPr>
        <b/>
        <sz val="10"/>
        <color indexed="8"/>
        <rFont val="Arial"/>
        <family val="2"/>
      </rPr>
      <t>atau</t>
    </r>
    <r>
      <rPr>
        <sz val="10"/>
        <color indexed="8"/>
        <rFont val="Arial"/>
        <family val="2"/>
      </rPr>
      <t xml:space="preserve"> cacat fisik dan bukti implementasi sistem tsb. yang ditunjang oleh fasilitas yang </t>
    </r>
    <r>
      <rPr>
        <b/>
        <sz val="10"/>
        <color indexed="8"/>
        <rFont val="Arial"/>
        <family val="2"/>
      </rPr>
      <t>lengkap</t>
    </r>
  </si>
  <si>
    <r>
      <t xml:space="preserve">Ditemukan sistem yang memberikan peluang dan menerima mahasiswa yang memiliki potensi akademik tetapi tidak mampu secara ekonomi </t>
    </r>
    <r>
      <rPr>
        <b/>
        <sz val="10"/>
        <color indexed="8"/>
        <rFont val="Arial"/>
        <family val="2"/>
      </rPr>
      <t>atau</t>
    </r>
    <r>
      <rPr>
        <sz val="10"/>
        <color indexed="8"/>
        <rFont val="Arial"/>
        <family val="2"/>
      </rPr>
      <t xml:space="preserve"> cacat fisik dan bukti implementasi sistem tsb. yang ditunjang oleh fasilitas yang </t>
    </r>
    <r>
      <rPr>
        <b/>
        <sz val="10"/>
        <color indexed="8"/>
        <rFont val="Arial"/>
        <family val="2"/>
      </rPr>
      <t>cukup</t>
    </r>
  </si>
  <si>
    <r>
      <t xml:space="preserve">Tidak ditemukan sistem yang memberikan peluang dan menerima  mahasiswa yang memiliki potensi akademik tetapi tidak mampu secara ekonomi </t>
    </r>
    <r>
      <rPr>
        <b/>
        <sz val="10"/>
        <color indexed="8"/>
        <rFont val="Arial"/>
        <family val="2"/>
      </rPr>
      <t>atau</t>
    </r>
    <r>
      <rPr>
        <sz val="10"/>
        <color indexed="8"/>
        <rFont val="Arial"/>
        <family val="2"/>
      </rPr>
      <t xml:space="preserve"> cacat fisik.</t>
    </r>
  </si>
  <si>
    <t>3.1.3</t>
  </si>
  <si>
    <t>Sistem penerimaan mahasiswa baru yang menerapkan prinsip-prinsip ekuitas.</t>
  </si>
  <si>
    <t>Ada dokumen kebijakan yang sesuai dengan prinsip ekuitas yang diterapkan secara konsisten</t>
  </si>
  <si>
    <t>Ada dokumen kebijakan yang sesuai dengan prinsip ekuitas yang kurang diterapkan secara konsisten</t>
  </si>
  <si>
    <t>Ada dokumen kebijakan yang sesuai dengan prinsip ekuitas yang tidak diterapkan secara konsisten</t>
  </si>
  <si>
    <t xml:space="preserve">Ada dokumen kebijakan yang sesuai dengan prinsip ekuitas tetapi tidak diterapkan </t>
  </si>
  <si>
    <t>3.1.4</t>
  </si>
  <si>
    <t>NP</t>
  </si>
  <si>
    <t xml:space="preserve">Sistem penerimaan mahasiswa baru menerapkan  prinsip pemerataan wilayah asal mahasiswa. 
</t>
  </si>
  <si>
    <t>Jumlah propinsi asal mahasiswa</t>
  </si>
  <si>
    <t>3.1.5.1</t>
  </si>
  <si>
    <t>Jumlah mahasiswa dari semua jenjang pendidikan yang lulus seleksi (Kolom 4)</t>
  </si>
  <si>
    <r>
      <t>N</t>
    </r>
    <r>
      <rPr>
        <vertAlign val="subscript"/>
        <sz val="10"/>
        <color indexed="8"/>
        <rFont val="Arial"/>
        <family val="2"/>
      </rPr>
      <t>B</t>
    </r>
  </si>
  <si>
    <r>
      <t>N</t>
    </r>
    <r>
      <rPr>
        <vertAlign val="subscript"/>
        <sz val="10"/>
        <color indexed="8"/>
        <rFont val="Arial"/>
        <family val="2"/>
      </rPr>
      <t>A</t>
    </r>
  </si>
  <si>
    <t>Jumlah mahasiswa dari semua jenjang pendidikan yang ikut seleksi (Kolom 3)</t>
  </si>
  <si>
    <t>3.1.5.2</t>
  </si>
  <si>
    <t>Rasio jumlah mahasiswa yang mendaftar ulang terhadap jumlah mahasiswa yang lulus seleksi.</t>
  </si>
  <si>
    <t>Jumlah mahasiswa baru bukan transfer dari semua jenjang pendidikan (Kolom 5)</t>
  </si>
  <si>
    <r>
      <t>Rasio = N</t>
    </r>
    <r>
      <rPr>
        <vertAlign val="subscript"/>
        <sz val="10"/>
        <color indexed="8"/>
        <rFont val="Arial"/>
        <family val="2"/>
      </rPr>
      <t>C</t>
    </r>
    <r>
      <rPr>
        <sz val="10"/>
        <color indexed="8"/>
        <rFont val="Arial"/>
        <family val="2"/>
      </rPr>
      <t>/N</t>
    </r>
    <r>
      <rPr>
        <vertAlign val="subscript"/>
        <sz val="10"/>
        <color indexed="8"/>
        <rFont val="Arial"/>
        <family val="2"/>
      </rPr>
      <t>B</t>
    </r>
  </si>
  <si>
    <t>3.1.5.3</t>
  </si>
  <si>
    <t>Rasio jumlah mahasiswa baru transfer terhadap jumlah mahasiswa baru bukan transfer.</t>
  </si>
  <si>
    <t>Jumlah mahasiswa baru  transfer dari semua jenjang pendidikan (Kolom 6)</t>
  </si>
  <si>
    <r>
      <t>N</t>
    </r>
    <r>
      <rPr>
        <vertAlign val="subscript"/>
        <sz val="10"/>
        <color indexed="8"/>
        <rFont val="Arial"/>
        <family val="2"/>
      </rPr>
      <t>D</t>
    </r>
  </si>
  <si>
    <r>
      <t>Rasio = N</t>
    </r>
    <r>
      <rPr>
        <vertAlign val="subscript"/>
        <sz val="10"/>
        <color indexed="8"/>
        <rFont val="Arial"/>
        <family val="2"/>
      </rPr>
      <t>D</t>
    </r>
    <r>
      <rPr>
        <sz val="10"/>
        <color indexed="8"/>
        <rFont val="Arial"/>
        <family val="2"/>
      </rPr>
      <t>/N</t>
    </r>
    <r>
      <rPr>
        <vertAlign val="subscript"/>
        <sz val="10"/>
        <color indexed="8"/>
        <rFont val="Arial"/>
        <family val="2"/>
      </rPr>
      <t>C</t>
    </r>
  </si>
  <si>
    <t>Instrumen dan tata cara pengukuran kepuasan mahasiswa terhadap layanan kemahasiswaan</t>
  </si>
  <si>
    <t>3.1.6</t>
  </si>
  <si>
    <t xml:space="preserve">Instrumen pengukuran (1) sahih, (2) andal, (3) mudah digunakan,
(4) dilaksanakan secara berkala setiap semester
</t>
  </si>
  <si>
    <t xml:space="preserve">Instrumen pengukuran (1) sahih, (2) andal, namun tidak mudah digunakan, (3) dilaksanakan secara berkala minimal setiap tahun
</t>
  </si>
  <si>
    <t>Tidak memiliki instrumen untuk mengukur kepuasan mahasiswa terhadap layanan kemahasiswaan.</t>
  </si>
  <si>
    <t>Instrumen pengukuran (1) sahih,  (2) tetapi kurang andal atau tidak berkala.</t>
  </si>
  <si>
    <t>Hasil pelaksanaan survei kepuasan mahasiswa terhadap layanan kegiatan kemahasiswaan, dan tindak lanjutnya.</t>
  </si>
  <si>
    <t>3.1.7</t>
  </si>
  <si>
    <t xml:space="preserve">(1) komprehensif, (2) dianalisis dengan metode yang tepat, (3) disimpulkan dengan baik, (4) digunakan untuk perbaikan sistem manajemen layanan kegiatan kemahasiswaan, (5) mudah diakses oleh pemangku kepentingan.
</t>
  </si>
  <si>
    <r>
      <t xml:space="preserve">(1) komprehensif, (2) dianalisis dengan metode yang tepat, (3) disimpulkan dengan baik, (4) digunakan untuk perbaikan sistem manajemen layanan kegiatan kemahasiswaan, tetapi </t>
    </r>
    <r>
      <rPr>
        <b/>
        <sz val="10"/>
        <color indexed="8"/>
        <rFont val="Arial"/>
        <family val="2"/>
      </rPr>
      <t>tidak mudah</t>
    </r>
    <r>
      <rPr>
        <sz val="10"/>
        <color indexed="8"/>
        <rFont val="Arial"/>
        <family val="2"/>
      </rPr>
      <t xml:space="preserve"> diakses oleh pemangku kepentingan.
</t>
    </r>
  </si>
  <si>
    <t>Tidak ditemukan laporan tentang hasil survei kepuasan mahasiswa terhadap layanan kegiatan kemahasiswaan.</t>
  </si>
  <si>
    <t>Tidak ada hasil survei.</t>
  </si>
  <si>
    <r>
      <t xml:space="preserve">(1) komprehensif, tetapi tidak: (2) dianalisis dengan metode yang tepat, (3) disimpulkan dengan baik, (4) digunakan untuk perbaikan sistem manajemen layanan kegiatan kemahasiswaan, dan </t>
    </r>
    <r>
      <rPr>
        <b/>
        <sz val="10"/>
        <color indexed="8"/>
        <rFont val="Arial"/>
        <family val="2"/>
      </rPr>
      <t>tidak mudah</t>
    </r>
    <r>
      <rPr>
        <sz val="10"/>
        <color indexed="8"/>
        <rFont val="Arial"/>
        <family val="2"/>
      </rPr>
      <t xml:space="preserve"> diakses oleh pemangku kepentingan.
</t>
    </r>
  </si>
  <si>
    <t>3.1.8</t>
  </si>
  <si>
    <r>
      <t xml:space="preserve">Layanan kepada mahasiswa dalam bidang (1) bimbingan dan konseling, (2) minat dan bakat, (3) pembinaan </t>
    </r>
    <r>
      <rPr>
        <i/>
        <sz val="10"/>
        <color indexed="8"/>
        <rFont val="Arial"/>
        <family val="2"/>
      </rPr>
      <t>soft skills</t>
    </r>
    <r>
      <rPr>
        <sz val="10"/>
        <color indexed="8"/>
        <rFont val="Arial"/>
        <family val="2"/>
      </rPr>
      <t>, (4) beasiswa, dan (5) kesehatan.</t>
    </r>
  </si>
  <si>
    <t xml:space="preserve">Aksesibilitas dan layanan sebanyak empat  unit pembinaan dan pengembangan </t>
  </si>
  <si>
    <t xml:space="preserve">Aksesibilitas dan layanan semua unit pembinaan dan pengembangan </t>
  </si>
  <si>
    <t xml:space="preserve">Aksesibilitas dan layanan sebanyak 2 s.d. 3 unit pembinaan dan pengembangan </t>
  </si>
  <si>
    <t>Aksesibilitas dan layanan minimal satu unit pembinaan dan pengembangan</t>
  </si>
  <si>
    <t>Tidak ada layanan kepada kepada mahasiswa.</t>
  </si>
  <si>
    <t>3.1.9</t>
  </si>
  <si>
    <t>Pemilikan program layanan bimbingan karir dan informasi kerja bagi mahasiswa dan lulusan.</t>
  </si>
  <si>
    <t xml:space="preserve">Tidak ditemukan dokumen formal kebijakan dan pelaksanaan layanan 
bimbingan karir dan informasi kerja bagi mahasiswa serta lulusan.
</t>
  </si>
  <si>
    <t xml:space="preserve">Mencakup: (1) penyebaran informasi kerja, (2) penyelenggaraan bursa kerja secara berkala.
</t>
  </si>
  <si>
    <t xml:space="preserve">Mencakup: (1) penyebaran informasi kerja, (2) penyelenggaraan bursa kerja secara berkala, (3) perencanaan karir.
</t>
  </si>
  <si>
    <t xml:space="preserve">Mencakup: (1) penyebaran informasi kerja, (2) penyelenggaraan bursa kerja secara berkala, (3) perencanaan karir, (4) pelatihan melamar kerja, (5) layanan penempatan kerja.
</t>
  </si>
  <si>
    <t>3.1.10</t>
  </si>
  <si>
    <t>Pelaksanaan program layanan bimbingan karir dan informasi kerja bagi mahasiswa dan lulusan, serta hasilnya.</t>
  </si>
  <si>
    <t xml:space="preserve">Tidak ditemukan pelaksanaan program layanan bimbingan karir dan informasi kerja bagi mahasiswa dan lulusan. </t>
  </si>
  <si>
    <t xml:space="preserve">Menghasilkan kemudahan bagi mahasiswa dan lulusan untuk:
(1) memperoleh informasi yang komprehensif tentang pasar kerja,
(2) merencanakan karir yang realistik, (3) mengajukan lamaran kerja dengan baik.
</t>
  </si>
  <si>
    <t xml:space="preserve">Menghasilkan kemudahan bagi mahasiswa dan lulusan untuk:
(1) memperoleh informasi yang komprehensif tentang pasar kerja,
(2) merencanakan karir yang realistik, tanpa kemudahan untuk mengajukan lamaran kerja.
</t>
  </si>
  <si>
    <t xml:space="preserve">Menghasilkan kemudahan bagi mahasiswa dan lulusan untuk memperoleh informasi yang komprehensif tentang pasar kerja,
tanpa kemudahan untuk merencanakan karir dan melamar kerja.
</t>
  </si>
  <si>
    <t>3.1.11</t>
  </si>
  <si>
    <t>Pencapaian prestasi mahasiswa di tingkat propinsi/ wilayah, nasional, dan internasional.</t>
  </si>
  <si>
    <t>Jumlah penghargaan tingkat propinsi/wilayah</t>
  </si>
  <si>
    <t>Jumlah penghargaan tingkat nasional</t>
  </si>
  <si>
    <t>Jumlah penghargaan tingkat internasional</t>
  </si>
  <si>
    <t>Jumlah semua program studi.</t>
  </si>
  <si>
    <t>3.1.12</t>
  </si>
  <si>
    <t>Upaya institusi untuk meningkatkan prestasi mahasiswa dalam bidang akademik dan non-akademik.</t>
  </si>
  <si>
    <t xml:space="preserve">Melakukan ketiga upaya berikut: (1) Bimbingan peningkatan prestasi, (2) Penyediaan dana, (3) Pemberian kesempatan untuk berpartisipasi, dan dilakukan secara terprogram.
</t>
  </si>
  <si>
    <t xml:space="preserve">Dua dari tiga upaya berikut: (1) Bimbingan peningkatan prestasi
(2) Penyediaan dana, (3) Pemberian kesempatan untuk berpartisipasi,
dan dilakukan secara terprogram.
</t>
  </si>
  <si>
    <t xml:space="preserve">Satu dari tiga upaya berikut: (1) Bimbingan peningkatan prestasi,
(2) Penyediaan dana, (3) Pemberian kesempatan untuk berpartisipasi,
dan dilakukan secara terprogram.
</t>
  </si>
  <si>
    <t>Ada upaya, tetapi tidak terprogram.</t>
  </si>
  <si>
    <t>Tidak ada upaya.</t>
  </si>
  <si>
    <t>Persentase mahasiswa DO atau mengundurkan diri untuk semua program studi.</t>
  </si>
  <si>
    <t>a1</t>
  </si>
  <si>
    <t>a2</t>
  </si>
  <si>
    <t>a3</t>
  </si>
  <si>
    <t>a4</t>
  </si>
  <si>
    <t>Jumlah mahasiswa S1 pada TS-6</t>
  </si>
  <si>
    <t>Jumlah mahasiswa S2 pada TS-4</t>
  </si>
  <si>
    <t>Jumlah mahasiswa S3 pada TS-5</t>
  </si>
  <si>
    <t>Jumlah mahasiswa D4 pada TS-6</t>
  </si>
  <si>
    <t>a5</t>
  </si>
  <si>
    <t>Jumlah mahasiswa D3 pada TS-4</t>
  </si>
  <si>
    <t>a6</t>
  </si>
  <si>
    <t>Jumlah mahasiswa D2 pada TS-2</t>
  </si>
  <si>
    <t>a7</t>
  </si>
  <si>
    <t>Jumlah mahasiswa D1 pada TS-1</t>
  </si>
  <si>
    <t>b1</t>
  </si>
  <si>
    <t>b2</t>
  </si>
  <si>
    <t>b3</t>
  </si>
  <si>
    <t>b4</t>
  </si>
  <si>
    <t>b5</t>
  </si>
  <si>
    <t>b6</t>
  </si>
  <si>
    <t>b7</t>
  </si>
  <si>
    <t>c1</t>
  </si>
  <si>
    <t>c2</t>
  </si>
  <si>
    <t>c3</t>
  </si>
  <si>
    <t>c4</t>
  </si>
  <si>
    <t>c5</t>
  </si>
  <si>
    <t>c6</t>
  </si>
  <si>
    <t>c7</t>
  </si>
  <si>
    <t>Jumlah mahasiswa S1 pada TS-6 yg terdaftar pada TS</t>
  </si>
  <si>
    <t>Jumlah mahasiswa S2 pada TS-4 yg terdaftar pada TS</t>
  </si>
  <si>
    <t>Jumlah mahasiswa S3 pada TS-5 yg terdaftar pada TS</t>
  </si>
  <si>
    <t>Jumlah mahasiswa D4 pada TS-6 yg terdaftar pada TS</t>
  </si>
  <si>
    <t>Jumlah mahasiswa D3 pada TS-4 yg terdaftar pada TS</t>
  </si>
  <si>
    <t>Jumlah mahasiswa D2 pada TS-2 yg terdaftar pada TS</t>
  </si>
  <si>
    <t>Jumlah mahasiswa D1 pada TS-1 yg terdaftar pada TS</t>
  </si>
  <si>
    <t>Jumlah mahasiswa S1 pada TS-6 yg lulus pada TS</t>
  </si>
  <si>
    <t>Jumlah mahasiswa S2 pada TS-4 yg lulus pada TS</t>
  </si>
  <si>
    <t>Jumlah mahasiswa S3 pada TS-5 yg lulus pada TS</t>
  </si>
  <si>
    <t>Jumlah mahasiswa D4 pada TS-6 yg lulus pada TS</t>
  </si>
  <si>
    <t>Jumlah mahasiswa D3 pada TS-4 yg lulus pada TS</t>
  </si>
  <si>
    <t>Jumlah mahasiswa D2 pada TS-2 yg lulus pada TS</t>
  </si>
  <si>
    <t>Jumlah mahasiswa D1 pada TS-1 yg lulus pada TS</t>
  </si>
  <si>
    <t>Persentase kelulusan tepat waktu untuk semua program studi</t>
  </si>
  <si>
    <t>d1</t>
  </si>
  <si>
    <t>f1</t>
  </si>
  <si>
    <t>d2</t>
  </si>
  <si>
    <t>f2</t>
  </si>
  <si>
    <t>d3</t>
  </si>
  <si>
    <t>f3</t>
  </si>
  <si>
    <t>d4</t>
  </si>
  <si>
    <t>f4</t>
  </si>
  <si>
    <t>d5</t>
  </si>
  <si>
    <t>f5</t>
  </si>
  <si>
    <t>d6</t>
  </si>
  <si>
    <t>f6</t>
  </si>
  <si>
    <t>d7</t>
  </si>
  <si>
    <t>f7</t>
  </si>
  <si>
    <t>Jumlah mahasiswa S1 pada TS-3</t>
  </si>
  <si>
    <t>Jumlah mahasiswa S2 pada TS-1</t>
  </si>
  <si>
    <t>Jumlah mahasiswa S3 pada TS-2</t>
  </si>
  <si>
    <t>Jumlah mahasiswa D4 pada TS-3</t>
  </si>
  <si>
    <t>Jumlah mahasiswa D1 pada TS</t>
  </si>
  <si>
    <t>Jumlah mahasiswa D2 pada TS-1</t>
  </si>
  <si>
    <t>Jumlah mahasiswa D3 pada TS-2</t>
  </si>
  <si>
    <t>Jumlah mahasiswa S1 pada TS-3 yg lulus pada TS</t>
  </si>
  <si>
    <t>Jumlah mahasiswa D1 pada TS yg lulus pada TS</t>
  </si>
  <si>
    <t>Jumlah mahasiswa S2 pada TS-1 yg lulus pada TS</t>
  </si>
  <si>
    <t>Jumlah mahasiswa S3 pada TS-2 yg lulus pada TS</t>
  </si>
  <si>
    <t>Jumlah mahasiswa D4 pada TS-3 yg lulus pada TS</t>
  </si>
  <si>
    <t>Jumlah mahasiswa D3 pada TS-2 yg lulus pada TS</t>
  </si>
  <si>
    <t>Jumlah mahasiswa D2 pada TS-1 yg lulus pada TS</t>
  </si>
  <si>
    <t>3.2.2.1</t>
  </si>
  <si>
    <t>Rata-rata masa studi lulusan (tahun)</t>
  </si>
  <si>
    <t>Rata-rata IPK lulusan</t>
  </si>
  <si>
    <t>Rincian perhitungan butir 3.2.2.1 dan 3.2.2.2</t>
  </si>
  <si>
    <t>Bernilai "1" jika data ada dan "0" jika data tidak ada</t>
  </si>
  <si>
    <t xml:space="preserve">Rata-rata masa studi lulusan S3  </t>
  </si>
  <si>
    <t xml:space="preserve">Rata-rata IPK lulusan S3  </t>
  </si>
  <si>
    <t>3.2.2.2</t>
  </si>
  <si>
    <t>Rata-rata lama studi lulusan dalam tiga tahun terakhir (hitungan di bawah)</t>
  </si>
  <si>
    <t>Rata-rata IPK lulusan dalam tiga tahun terakhir (hitungan di bawah)</t>
  </si>
  <si>
    <t xml:space="preserve">Rata-rata masa studi lulusan S2  </t>
  </si>
  <si>
    <t xml:space="preserve">Rata-rata IPK lulusan S2  </t>
  </si>
  <si>
    <r>
      <t xml:space="preserve">Program Studi S2      </t>
    </r>
    <r>
      <rPr>
        <sz val="10"/>
        <color indexed="8"/>
        <rFont val="Arial"/>
        <family val="2"/>
      </rPr>
      <t xml:space="preserve"> (Jika ada program S2 isi 1, jika tidak ada isi 0) ---&gt;</t>
    </r>
  </si>
  <si>
    <r>
      <t xml:space="preserve">Program Studi S3        </t>
    </r>
    <r>
      <rPr>
        <sz val="10"/>
        <color indexed="8"/>
        <rFont val="Arial"/>
        <family val="2"/>
      </rPr>
      <t>(Jika ada program S3 isi 1, jika tidak ada isi 0) ---&gt;</t>
    </r>
  </si>
  <si>
    <t xml:space="preserve">Rata-rata masa studi lulusan S1  </t>
  </si>
  <si>
    <t xml:space="preserve">Rata-rata IPK lulusan S1  </t>
  </si>
  <si>
    <r>
      <t xml:space="preserve">Program Studi S1      </t>
    </r>
    <r>
      <rPr>
        <sz val="10"/>
        <color indexed="8"/>
        <rFont val="Arial"/>
        <family val="2"/>
      </rPr>
      <t xml:space="preserve"> (Jika ada program S1 isi 1, jika tidak ada isi 0) ---&gt;</t>
    </r>
  </si>
  <si>
    <r>
      <t xml:space="preserve">Program Studi D4      </t>
    </r>
    <r>
      <rPr>
        <sz val="10"/>
        <color indexed="8"/>
        <rFont val="Arial"/>
        <family val="2"/>
      </rPr>
      <t xml:space="preserve"> (Jika ada program D4 isi 1, jika tidak ada isi 0) ---&gt;</t>
    </r>
  </si>
  <si>
    <t xml:space="preserve">Rata-rata masa studi lulusan D4  </t>
  </si>
  <si>
    <t xml:space="preserve">Rata-rata IPK lulusan D4  </t>
  </si>
  <si>
    <r>
      <t xml:space="preserve">Program Studi D3      </t>
    </r>
    <r>
      <rPr>
        <sz val="10"/>
        <color indexed="8"/>
        <rFont val="Arial"/>
        <family val="2"/>
      </rPr>
      <t xml:space="preserve"> (Jika ada program D3 isi 1, jika tidak ada isi 0) ---&gt;</t>
    </r>
  </si>
  <si>
    <r>
      <t xml:space="preserve">Program Studi D2      </t>
    </r>
    <r>
      <rPr>
        <sz val="10"/>
        <color indexed="8"/>
        <rFont val="Arial"/>
        <family val="2"/>
      </rPr>
      <t xml:space="preserve"> (Jika ada program D2 isi 1, jika tidak ada isi 0) ---&gt;</t>
    </r>
  </si>
  <si>
    <r>
      <t xml:space="preserve">Program Studi D1      </t>
    </r>
    <r>
      <rPr>
        <sz val="10"/>
        <color indexed="8"/>
        <rFont val="Arial"/>
        <family val="2"/>
      </rPr>
      <t xml:space="preserve"> (Jika ada program D1 isi 1, jika tidak ada isi 0) ---&gt;</t>
    </r>
  </si>
  <si>
    <t>3.2.3</t>
  </si>
  <si>
    <t>Sistem evaluasi lulusan yang efektif, mencakup kebijakan dan strategi, keberadaan instrumen, monitoring dan evaluasi, serta tindak lanjutnya.</t>
  </si>
  <si>
    <t>Tidak ada sistem evaluasi angka efisiensi edukasi yang efektif.</t>
  </si>
  <si>
    <t>3.2.4</t>
  </si>
  <si>
    <t xml:space="preserve">Rasio alumni dalam lima tahun terakhir yang memberikan respon terhadap studi pelacakan. </t>
  </si>
  <si>
    <r>
      <t>Rasio = N</t>
    </r>
    <r>
      <rPr>
        <vertAlign val="subscript"/>
        <sz val="10"/>
        <color indexed="8"/>
        <rFont val="Arial"/>
        <family val="2"/>
      </rPr>
      <t>A</t>
    </r>
    <r>
      <rPr>
        <sz val="10"/>
        <color indexed="8"/>
        <rFont val="Arial"/>
        <family val="2"/>
      </rPr>
      <t>/N</t>
    </r>
  </si>
  <si>
    <t>3.2.5</t>
  </si>
  <si>
    <t xml:space="preserve">Partisipasi alumni dalam mendukung pengembangan  perguruan tinggi dalam bentuk: (1) Sumbangan dana, (2) Sumbangan fasilitas, (3) Masukan untuk perbaikan proses pembelajaran, (4) Pengembangan jejaring
</t>
  </si>
  <si>
    <t>Semua bentuk partisipasi dilakukan oleh alumni.</t>
  </si>
  <si>
    <t>Tiga  bentuk partisipasi dilakukan oleh alumni.</t>
  </si>
  <si>
    <t>Hanya dua bentuk partisipasi yang dilakukan oleh alumni.</t>
  </si>
  <si>
    <t>Hanya satu bentuk partisipasi saja yang dilakukan oleh alumni</t>
  </si>
  <si>
    <t>Tidak ada partisipasi alumni</t>
  </si>
  <si>
    <t>Sistem pengelolaan sumber daya manusia yang lengkap, transparan, dan akuntabel, mencakup: perencanaan, rekrutmen, seleksi, dan pemberhentian pegawai,  orientasi dan penempatan pegawai,  pengembangan karir,  remunerasi, penghargaan, dan sanksi.</t>
  </si>
  <si>
    <t xml:space="preserve">Pedoman formal tentang sistem monitoring dan evaluasi, serta rekam jejak kinerja dosen dan tenaga kependidikan. </t>
  </si>
  <si>
    <t>Pedoman formal yang lengkap; dan ada bukti dilaksanakan secara konsisten.</t>
  </si>
  <si>
    <r>
      <t xml:space="preserve">Pedoman formal yang lengkap; dan ada bukti </t>
    </r>
    <r>
      <rPr>
        <b/>
        <sz val="10"/>
        <color indexed="8"/>
        <rFont val="Arial"/>
        <family val="2"/>
      </rPr>
      <t>tidak</t>
    </r>
    <r>
      <rPr>
        <sz val="10"/>
        <color indexed="8"/>
        <rFont val="Arial"/>
        <family val="2"/>
      </rPr>
      <t xml:space="preserve"> dilaksanakan secara konsisten.</t>
    </r>
  </si>
  <si>
    <r>
      <t xml:space="preserve">Pedoman formal yang lengkap; tetapi </t>
    </r>
    <r>
      <rPr>
        <b/>
        <sz val="10"/>
        <color indexed="8"/>
        <rFont val="Arial"/>
        <family val="2"/>
      </rPr>
      <t>tidak</t>
    </r>
    <r>
      <rPr>
        <sz val="10"/>
        <color indexed="8"/>
        <rFont val="Arial"/>
        <family val="2"/>
      </rPr>
      <t xml:space="preserve"> dilaksanakan.</t>
    </r>
  </si>
  <si>
    <r>
      <t xml:space="preserve">Pedoman formal </t>
    </r>
    <r>
      <rPr>
        <b/>
        <sz val="10"/>
        <color indexed="8"/>
        <rFont val="Arial"/>
        <family val="2"/>
      </rPr>
      <t>tidak</t>
    </r>
    <r>
      <rPr>
        <sz val="10"/>
        <color indexed="8"/>
        <rFont val="Arial"/>
        <family val="2"/>
      </rPr>
      <t xml:space="preserve"> lengkap dan </t>
    </r>
    <r>
      <rPr>
        <b/>
        <sz val="10"/>
        <color indexed="8"/>
        <rFont val="Arial"/>
        <family val="2"/>
      </rPr>
      <t>tidak</t>
    </r>
    <r>
      <rPr>
        <sz val="10"/>
        <color indexed="8"/>
        <rFont val="Arial"/>
        <family val="2"/>
      </rPr>
      <t xml:space="preserve"> dilaksanakan.</t>
    </r>
  </si>
  <si>
    <t xml:space="preserve">Tidak ada pedoman tertulis.
</t>
  </si>
  <si>
    <t>Pelaksanaan monitoring dan evaluasi (monev) kinerja dosen di bidang  pendidikan, penelitian, pelayanan/pengabdian kepada masyarakat.</t>
  </si>
  <si>
    <t xml:space="preserve">Monev kinerja dosen di bidang  pendidikan tetapi tidak terdokumenta-sikan dengan baik serta tidak ada bukti di bidang penelitian  atau pelayanan/ pengabdian kepada masyarakat. </t>
  </si>
  <si>
    <t>Tidak ada monev kinerja dosen yang terdokumentasikan.</t>
  </si>
  <si>
    <t>Rasio jumlah mahasiswa terhadap jumlah dosen tetap.</t>
  </si>
  <si>
    <t>Jumlah dosen tetap</t>
  </si>
  <si>
    <r>
      <t>N</t>
    </r>
    <r>
      <rPr>
        <vertAlign val="subscript"/>
        <sz val="10"/>
        <color indexed="8"/>
        <rFont val="Arial"/>
        <family val="2"/>
      </rPr>
      <t>DT</t>
    </r>
  </si>
  <si>
    <r>
      <t>N</t>
    </r>
    <r>
      <rPr>
        <vertAlign val="subscript"/>
        <sz val="10"/>
        <color indexed="8"/>
        <rFont val="Arial"/>
        <family val="2"/>
      </rPr>
      <t>MHS</t>
    </r>
  </si>
  <si>
    <r>
      <t>Rasio = N</t>
    </r>
    <r>
      <rPr>
        <vertAlign val="subscript"/>
        <sz val="10"/>
        <color indexed="8"/>
        <rFont val="Arial"/>
        <family val="2"/>
      </rPr>
      <t>MHS</t>
    </r>
    <r>
      <rPr>
        <sz val="10"/>
        <color indexed="8"/>
        <rFont val="Arial"/>
        <family val="2"/>
      </rPr>
      <t>/N</t>
    </r>
    <r>
      <rPr>
        <vertAlign val="subscript"/>
        <sz val="10"/>
        <color indexed="8"/>
        <rFont val="Arial"/>
        <family val="2"/>
      </rPr>
      <t>DT</t>
    </r>
  </si>
  <si>
    <r>
      <t>NDT</t>
    </r>
    <r>
      <rPr>
        <vertAlign val="subscript"/>
        <sz val="10"/>
        <color indexed="8"/>
        <rFont val="Arial"/>
        <family val="2"/>
      </rPr>
      <t>S3</t>
    </r>
    <r>
      <rPr>
        <sz val="10"/>
        <color indexed="8"/>
        <rFont val="Arial"/>
        <family val="2"/>
      </rPr>
      <t xml:space="preserve"> = persentase dosen tetap berpendidikan doktor/Sp-2</t>
    </r>
  </si>
  <si>
    <t>Jumlah dosen tetap yang berpendidikan doktor/Sp-2</t>
  </si>
  <si>
    <t>Persentase dosen tetap dengan jabatan guru besar (untuk institut, universitas, dan sekolah tinggi) dan lektor kepala (untuk akademi dan politeknik).</t>
  </si>
  <si>
    <t>Untuk institut, universitas, sekolah tinggi di isi 1
Untuk akademi dan politeknik di isi 0                                                    ---&gt;</t>
  </si>
  <si>
    <t>Pprof = Persentase dosen dengan jabatan guru besar</t>
  </si>
  <si>
    <t>PLK = Persentase dosen dengan jabatan lektor kepala</t>
  </si>
  <si>
    <t>Rasio dosen tidak tetap terhadap jumlah seluruh dosen.</t>
  </si>
  <si>
    <t>PDTT = Persentase jumlah dosen tidak tetap terhadap jumlah seluruh dosen.</t>
  </si>
  <si>
    <t>Jumlah dosen tidak tetap</t>
  </si>
  <si>
    <t>Jumlah seluruh dosen (tetap + tidak tetap)</t>
  </si>
  <si>
    <r>
      <t xml:space="preserve">Persentase dosen tetap yang menjalani program peningkatan kompetensi melalui tugas belajar. </t>
    </r>
    <r>
      <rPr>
        <sz val="10"/>
        <color theme="1"/>
        <rFont val="Arial"/>
        <family val="2"/>
      </rPr>
      <t>Jika persentase dosen bergelar doktor/Sp-2 ≥ 50%, maka skor butir ini otomatis = 4. (Lihat butir 4.3.1.2).</t>
    </r>
  </si>
  <si>
    <t>Banyaknya dosen yang mengikuti pendidikan tanpa gelar</t>
  </si>
  <si>
    <r>
      <t>N</t>
    </r>
    <r>
      <rPr>
        <vertAlign val="subscript"/>
        <sz val="10"/>
        <color indexed="8"/>
        <rFont val="Arial"/>
        <family val="2"/>
      </rPr>
      <t>PL</t>
    </r>
  </si>
  <si>
    <t>Banyaknya dosen yang mengikuti pendidikan S2/Sp-1</t>
  </si>
  <si>
    <t>Banyaknya dosen yang mengikuti pendidikan S3/Sp-2</t>
  </si>
  <si>
    <r>
      <t>N</t>
    </r>
    <r>
      <rPr>
        <vertAlign val="subscript"/>
        <sz val="10"/>
        <color indexed="8"/>
        <rFont val="Arial"/>
        <family val="2"/>
      </rPr>
      <t>S2</t>
    </r>
  </si>
  <si>
    <r>
      <t>N</t>
    </r>
    <r>
      <rPr>
        <vertAlign val="subscript"/>
        <sz val="10"/>
        <color indexed="8"/>
        <rFont val="Arial"/>
        <family val="2"/>
      </rPr>
      <t>S3</t>
    </r>
  </si>
  <si>
    <r>
      <t>N</t>
    </r>
    <r>
      <rPr>
        <vertAlign val="subscript"/>
        <sz val="10"/>
        <color indexed="8"/>
        <rFont val="Arial"/>
        <family val="2"/>
      </rPr>
      <t>PS</t>
    </r>
  </si>
  <si>
    <r>
      <t>SP = (0.25 N</t>
    </r>
    <r>
      <rPr>
        <vertAlign val="subscript"/>
        <sz val="10"/>
        <color indexed="8"/>
        <rFont val="Arial"/>
        <family val="2"/>
      </rPr>
      <t>PL</t>
    </r>
    <r>
      <rPr>
        <sz val="10"/>
        <color indexed="8"/>
        <rFont val="Arial"/>
        <family val="2"/>
      </rPr>
      <t xml:space="preserve"> + 0.75 N</t>
    </r>
    <r>
      <rPr>
        <vertAlign val="subscript"/>
        <sz val="10"/>
        <color indexed="8"/>
        <rFont val="Arial"/>
        <family val="2"/>
      </rPr>
      <t>S2</t>
    </r>
    <r>
      <rPr>
        <sz val="10"/>
        <color indexed="8"/>
        <rFont val="Arial"/>
        <family val="2"/>
      </rPr>
      <t xml:space="preserve"> + 1.25 N</t>
    </r>
    <r>
      <rPr>
        <vertAlign val="subscript"/>
        <sz val="10"/>
        <color indexed="8"/>
        <rFont val="Arial"/>
        <family val="2"/>
      </rPr>
      <t>S3</t>
    </r>
    <r>
      <rPr>
        <sz val="10"/>
        <color indexed="8"/>
        <rFont val="Arial"/>
        <family val="2"/>
      </rPr>
      <t>) / N</t>
    </r>
    <r>
      <rPr>
        <vertAlign val="subscript"/>
        <sz val="10"/>
        <color indexed="8"/>
        <rFont val="Arial"/>
        <family val="2"/>
      </rPr>
      <t>PS</t>
    </r>
    <r>
      <rPr>
        <sz val="10"/>
        <color indexed="8"/>
        <rFont val="Arial"/>
        <family val="2"/>
      </rPr>
      <t xml:space="preserve"> </t>
    </r>
  </si>
  <si>
    <t>4.5.1.1</t>
  </si>
  <si>
    <t>Pustakawan dan kualifikasinya.</t>
  </si>
  <si>
    <t>Jumlah pustakawan yang berpendidikan S2/S3/Special Librarian.</t>
  </si>
  <si>
    <t>Jumlah pustakawan yang berpendidikan D4 atau S1.</t>
  </si>
  <si>
    <t>Jumlah pustaka-wan yang berpendidik-an D1, D2, atau D3.</t>
  </si>
  <si>
    <r>
      <t>X</t>
    </r>
    <r>
      <rPr>
        <vertAlign val="subscript"/>
        <sz val="10"/>
        <color indexed="8"/>
        <rFont val="Arial"/>
        <family val="2"/>
      </rPr>
      <t>1</t>
    </r>
  </si>
  <si>
    <r>
      <t>X</t>
    </r>
    <r>
      <rPr>
        <vertAlign val="subscript"/>
        <sz val="10"/>
        <color indexed="8"/>
        <rFont val="Arial"/>
        <family val="2"/>
      </rPr>
      <t>2</t>
    </r>
  </si>
  <si>
    <r>
      <t>X</t>
    </r>
    <r>
      <rPr>
        <vertAlign val="subscript"/>
        <sz val="10"/>
        <color indexed="8"/>
        <rFont val="Arial"/>
        <family val="2"/>
      </rPr>
      <t>3</t>
    </r>
  </si>
  <si>
    <r>
      <t>A = (4 X</t>
    </r>
    <r>
      <rPr>
        <vertAlign val="subscript"/>
        <sz val="10"/>
        <color indexed="8"/>
        <rFont val="Arial"/>
        <family val="2"/>
      </rPr>
      <t>1</t>
    </r>
    <r>
      <rPr>
        <sz val="10"/>
        <color indexed="8"/>
        <rFont val="Arial"/>
        <family val="2"/>
      </rPr>
      <t xml:space="preserve"> + 3 X</t>
    </r>
    <r>
      <rPr>
        <vertAlign val="subscript"/>
        <sz val="10"/>
        <color indexed="8"/>
        <rFont val="Arial"/>
        <family val="2"/>
      </rPr>
      <t>2</t>
    </r>
    <r>
      <rPr>
        <sz val="10"/>
        <color indexed="8"/>
        <rFont val="Arial"/>
        <family val="2"/>
      </rPr>
      <t xml:space="preserve"> + 2 X</t>
    </r>
    <r>
      <rPr>
        <vertAlign val="subscript"/>
        <sz val="10"/>
        <color indexed="8"/>
        <rFont val="Arial"/>
        <family val="2"/>
      </rPr>
      <t>3</t>
    </r>
    <r>
      <rPr>
        <sz val="10"/>
        <color indexed="8"/>
        <rFont val="Arial"/>
        <family val="2"/>
      </rPr>
      <t>)/4</t>
    </r>
  </si>
  <si>
    <t>4.5.1.2</t>
  </si>
  <si>
    <t xml:space="preserve">Laboran, teknisi, analis, operator, dan programer.
Catatan: Agar dibandingkan dengan kegiatan yang seharusnya dilakukan dalam perguruan tinggi yang bersangkutan.
</t>
  </si>
  <si>
    <t>Jumlah cukup dan sangat baik kegiatannya.</t>
  </si>
  <si>
    <t>Jumlah cukup dan memadai kegiatannya.</t>
  </si>
  <si>
    <t>Cukup dalam jumlah dan kualifikasi tetapi mutu kerjanya sedang-sedang saja.</t>
  </si>
  <si>
    <t>Kurang dalam jumlah atau terlalu banyak sehingga kurang kegiatannya.</t>
  </si>
  <si>
    <t>4.5.1.3</t>
  </si>
  <si>
    <t>4.5.1.4</t>
  </si>
  <si>
    <t>Jumlah laboran/teknisi/analis/operator/programer</t>
  </si>
  <si>
    <t>Jumlah laboran/teknisi/analis/operator/programer yg memiliki sertifikat kompetensi</t>
  </si>
  <si>
    <t>Persentase</t>
  </si>
  <si>
    <t>Upaya perguruan tinggi dalam meningkatkan kualifikasi dan kompetensi tenaga kependidikan.</t>
  </si>
  <si>
    <t xml:space="preserve">Semua empat  upaya berikut: (1) kesempatan belajar/ pelatihan, (2) pemberian fasilitas termasuk dana, (3) jenjang karir yang jelas, (4) studi banding dilaksanakan dengan baik sehingga dapat meningkatkan kualifikasi dan kompetensi  tenaga kependidikan.
</t>
  </si>
  <si>
    <t xml:space="preserve">Tiga dari empat upaya berikut: (1) kesempatan belajar/ pelatihan, (2) pemberian fasilitas termasuk dana, (3) jenjang karir yang jelas, (4) studi banding dilaksanakan dengan baik sehingga dapat meningkatkan kualifikasi dan kompetensi  tenaga kependidikan.
</t>
  </si>
  <si>
    <t xml:space="preserve">Dua dari empat upaya berikut: (1) kesempatan belajar/ pelatihan, (2) pemberian fasilitas termasuk dana, (3) jenjang karir yang jelas, (4) studi banding dilaksanakan dengan baik sehingga cukup dapat meningkatkan kualifikasi dan kompetensi  tenaga kependidikan.
</t>
  </si>
  <si>
    <t xml:space="preserve">Dua dari upaya berikut: (1) kesempatan belajar/ pelatihan, (2) pemberian fasilitas termasuk dana, (3) jenjang karir yang jelas, (4) studi banding dilaksanakan dengan baik namun kurang dapat meningkatkan kualifikasi dan kompetensi  tenaga kependidikan.
</t>
  </si>
  <si>
    <t>Tidak ada upaya peningkatan kemampuan tenaga kependidikan.</t>
  </si>
  <si>
    <t>4.6.1</t>
  </si>
  <si>
    <t>Instrumen survei kepuasan dosen, pustakawan, laboran, teknisi, dan tenaga administrasi  terhadap sistem pengelolaan sumber daya manusia</t>
  </si>
  <si>
    <t>Tidak ada instrumen untuk mengukur kepuasan dosen, pustakawan, laboran, teknisi, dan tenaga administrasi, terhadap sistem pengelolaan sumber daya manusia.</t>
  </si>
  <si>
    <t xml:space="preserve">Yang memiliki: (1) validitas, (2) reliabilitas, dan (3) mudah digunakan
</t>
  </si>
  <si>
    <t xml:space="preserve">Yang memiliki: (1) validitas, (2) reliabilitas, tetapi tidak mudah digunakan.
</t>
  </si>
  <si>
    <t xml:space="preserve">Yang memiliki validitas, tetapi tidak ada bukti tentang reliabilitas, dan tidak mudah mudah digunakan.
</t>
  </si>
  <si>
    <t>Pelaksanaan survei kepuasan dosen, pustakawan, laboran, teknisi, tenaga administrasi, dan tenaga pendukung terhadap sistem pengelolaan sumber daya manusia.</t>
  </si>
  <si>
    <t xml:space="preserve">Hasil survei kepuasan: (1) jelas, (2) komprehensif, (3) mudah diakses oleh pemangku kepentingan.
</t>
  </si>
  <si>
    <t xml:space="preserve">Hasil survei kepuasan: (1) jelas, (2) komprehensif, tetapi tidak mudah diakses oleh pemangku kepentingan
</t>
  </si>
  <si>
    <t xml:space="preserve">Hasil survei kepuasan: jelas, tetapi tidak komprehensif dan
tidak mudah diakses oleh pemangku kepentingan.  
</t>
  </si>
  <si>
    <t>Tidak ada hasil survei kepuasan.</t>
  </si>
  <si>
    <t>4.6.3</t>
  </si>
  <si>
    <t>Pemanfaatan hasil survei kepuasan dosen, pustakawan, laboran, teknisi, dan tenaga administrasi terhadap sistem pengelolaan sumber daya manusia.</t>
  </si>
  <si>
    <t xml:space="preserve">Pemanfaatan hasil survei dalam perbaikan yang berkelanjutan untuk mutu: (1) pengelolaan sumber daya manusia, (2) instrumen pengukuran kepuasan dosen, pustakawan, laboran, teknisi, tenaga administrasi, dan tenaga pendukung, (3) analisis hasil survei kepuasan dosen, pustakawan, laboran, teknisi, tenaga administrasi, dan tenaga pendukung,
</t>
  </si>
  <si>
    <t xml:space="preserve">Pemanfaatan hasil survei dalam perbaikan yang berkelanjutan untuk mutu dua dari tiga aspek berikut: (1) pengelolaan sumber daya manusia, (2) instrumen untuk mengukur kepuasan dosen, pustakawan, laboran, teknisi, dan tenaga administrasi (3) analisis hasil survei kepuasan dosen, pustakawan, laboran, teknisi, tenaga administrasi, dan tenaga pendukung,
</t>
  </si>
  <si>
    <t xml:space="preserve">Pemanfaatan hasil survei dalam perbaikan yang berkelanjutan untuk mutu satu dari tiga aspek berikut: (1) pengelolaan sumber daya manusia, (2) instrumen untuk mengukur kepuasan dosen, pustakawan, laboran, teknisi, dan tenaga administrasi (3) analisis hasil survei kepuasan dosen, pustakawan, laboran, teknisi, tenaga administrasi, dan tenaga pendukung,
</t>
  </si>
  <si>
    <t>Tidak ada pemanfaatan hasil survei.</t>
  </si>
  <si>
    <t>5.1.1</t>
  </si>
  <si>
    <t>Dokumen kebijakan tentang pengembangan kurikulum yang lengkap.</t>
  </si>
  <si>
    <t xml:space="preserve">Dokumen formal tentang kebijakan ada, tetapi tidak ada (1) peraturan, 
(2) pedoman atau buku panduan yang memfasilitasi program studi untuk melakukan perencanaan, pengembangan, dan pemutakhiran kurikulum secara berkala.
</t>
  </si>
  <si>
    <t>Tidak ada dokumen formal yang memfasilitasi program studi untuk melakukan perencanaan, pengembangan, dan pemutakhiran kurikulum secara berkala.</t>
  </si>
  <si>
    <t xml:space="preserve">Ada dokumen formal yang mencakup: (1) kebijakan, (2) peraturan, 
tetapi tidak ada pedoman atau buku panduan yang memfasilitasi program studi untuk melakukan perencanaan, pengembangan, dan pemutakhiran kurikulum secara berkala.
</t>
  </si>
  <si>
    <t xml:space="preserve">Ada dokumen formal  yang mencakup: (1) kebijakan, (2) peraturan, (3) pedoman atau buku panduan yang memfasilitasi program studi untuk melakukan perencanaan, pengembangan, dan pemutakhiran kurikulum secara berkala.
</t>
  </si>
  <si>
    <t>5.1.2</t>
  </si>
  <si>
    <t>Monitoring dan evaluasi pengembangan kurikulum program studi.</t>
  </si>
  <si>
    <t>Tidak ada bukti dokumen analisis dan evaluasi pemutakhiran kurikulum program studi.</t>
  </si>
  <si>
    <t>Ada dokumen analisis dan evaluasi pemutakhiran kurikulum program studi yang ditindaklanjuti untuk penjaminan mutu secara berkesinambungan.</t>
  </si>
  <si>
    <t>Ada dokumen analisis dan evaluasi pemutakhiran kurikulum program studi tetapi tidak ditindaklanjuti.</t>
  </si>
  <si>
    <t xml:space="preserve">Ada dokumen pemutakhiran kurikulum program studi tetapi tidak dianalisis dan dievaluasi. </t>
  </si>
  <si>
    <t>dd</t>
  </si>
  <si>
    <t>ww</t>
  </si>
  <si>
    <t>hg</t>
  </si>
  <si>
    <t>w</t>
  </si>
  <si>
    <t>ff</t>
  </si>
  <si>
    <t>uu</t>
  </si>
  <si>
    <t>Unit pengkajian dan pengembangan sistem dan mutu pembelajaran mendorong mahasiswa untuk berfikir kritis, bereksplorasi, berekspresi, bereksperimen dengan memanfaatkan aneka sumber yang hasilnya dimanfaatkan oleh institusi.</t>
  </si>
  <si>
    <t>Ada unit atau lembaga yang khusus berfungsi untuk mengkaji dan mengembangkan sistem serta mutu pembelajaran, melaksanakan fungsinya dengan baik serta hasilnya dimanfaatkan oleh institusi.</t>
  </si>
  <si>
    <t>Tidak memiliki unit atau lembaga yang khusus berfungsi untuk mengkaji dan mengembangkan sistem serta mutu pembelajaran tetapi fungsinya dilaksanakan oleh unit/lembaga yang sudah ada serta hasilnya dimanfaatkan oleh institusi.</t>
  </si>
  <si>
    <t>Mengkaji dan mengembangkan sistem serta mutu pembelajaran, dilaksanakan oleh unit/lembaga  yang sudah ada tetapi hasilnya tidak dimanfaatkan oleh institusi.</t>
  </si>
  <si>
    <t>Tidak memiliki unit pengkajian dan tidak melakukan pengkajian maupun pengembangan sistem dan mutu pembelajaran.</t>
  </si>
  <si>
    <t>Sistem pengendalian mutu pembelajaran diterapkan institusi termasuk proses monitoring, evaluasi, dan pemanfaatannya</t>
  </si>
  <si>
    <t xml:space="preserve">Mencakup: (1) pendekatan sistem pembelajaran dan pengajaran, (2) perencanaan dan sumber daya pembelajaran, (3) syarat kelulusan 
dan dilaksanakan secara konsisten, dimonitor serta dievaluasi secara berkala.
</t>
  </si>
  <si>
    <t xml:space="preserve">Mencakup: (1) pendekatan sistem pembelajaran dan pengajaran, (2) perencanaan dan sumber daya pembelajaran, (3) syarat kelulusan 
dan dilaksanakan secara konsisten, tetapi tidak dimonitor serta dievaluasi secara berkala.
</t>
  </si>
  <si>
    <t xml:space="preserve">Mencakup: (1) pendekatan sistem pembelajaran dan pengajaran, (2) perencanaan dan sumber daya pembelajaran, (3) syarat kelulusan
tetapi pelaksanaannya tidak konsisten dan tidak dimonitor serta dievaluasi secara berkala.
</t>
  </si>
  <si>
    <t>Tidak ada  sistem pengendalian mutu pembelajaran yang menjamin penyelenggaraan proses pembelajaran yang baik</t>
  </si>
  <si>
    <t xml:space="preserve">Pedoman pelaksanaan tridarma perguruan tinggi yang digunakan sebagai acuan bagi perencanaan dan pelaksanaan program tridarma unit dibawahnya, menjamin terintegrasinya kegiatan penelitian dan PkM ke dalam proses pembelajaran.
</t>
  </si>
  <si>
    <t>Pedoman dijadikan acuan unit pelaksana yang mewajibkan pengintegrasian hasil penelitian dan PkM ke dalam proses pembelajaran, serta dilaksanakan secara konsisten.</t>
  </si>
  <si>
    <r>
      <t xml:space="preserve">Pedoman dijadikan acuan unit pelaksana yang mewajibkan pengintegrasian hasil penelitian dan PkM ke dalam proses pembelajaran, namun pelaksanaannya masih </t>
    </r>
    <r>
      <rPr>
        <b/>
        <sz val="10"/>
        <color indexed="8"/>
        <rFont val="Arial"/>
        <family val="2"/>
      </rPr>
      <t>belum</t>
    </r>
    <r>
      <rPr>
        <sz val="10"/>
        <color indexed="8"/>
        <rFont val="Arial"/>
        <family val="2"/>
      </rPr>
      <t xml:space="preserve"> konsisten.</t>
    </r>
  </si>
  <si>
    <r>
      <t xml:space="preserve">Pedoman yang dijadikan acuan unit pelaksana  tetapi </t>
    </r>
    <r>
      <rPr>
        <b/>
        <sz val="10"/>
        <color indexed="8"/>
        <rFont val="Arial"/>
        <family val="2"/>
      </rPr>
      <t>tidak</t>
    </r>
    <r>
      <rPr>
        <sz val="10"/>
        <color indexed="8"/>
        <rFont val="Arial"/>
        <family val="2"/>
      </rPr>
      <t xml:space="preserve"> mewajibkan pengintegrasian hasil penelitian dan PkM ke dalam proses pembelajaran.</t>
    </r>
  </si>
  <si>
    <t>Tidak memiliki pedoman  pelaksanaan tridarma perguruan tinggi.</t>
  </si>
  <si>
    <t>Dokumen formal tentang kebebasan akademik, kebebasan mimbar akademik, dan otonomi keilmuan, serta konsistensi pelaksanaannya.</t>
  </si>
  <si>
    <t>Ada dokumen formal yang  lengkap mencakup informasi tentang otonomi keilmuan, kebebasan akademik, kebebasan mimbar akademik, serta dilaksanakan secara konsisten.</t>
  </si>
  <si>
    <r>
      <t xml:space="preserve">Ada dokumen yang  lengkap mencakup informasi tentang otonomi keilmuan, kebebasan akademik, kebebasan mimbar akademik tetapi  </t>
    </r>
    <r>
      <rPr>
        <b/>
        <sz val="10"/>
        <color indexed="8"/>
        <rFont val="Arial"/>
        <family val="2"/>
      </rPr>
      <t>tidak</t>
    </r>
    <r>
      <rPr>
        <sz val="10"/>
        <color indexed="8"/>
        <rFont val="Arial"/>
        <family val="2"/>
      </rPr>
      <t xml:space="preserve"> dilaksanakan secara konsisten.</t>
    </r>
  </si>
  <si>
    <t>Dokumen kurang lengkap.</t>
  </si>
  <si>
    <t>Tidak ada dokumen kebijakan  tentang otonomi keilmuan, kebebasan akademik, kebebasan mimbar akademik.</t>
  </si>
  <si>
    <t>Sistem pengembangan suasana akademik yang kondusif bagi pebelajar untuk meraih prestasi akademik yang maksimal.</t>
  </si>
  <si>
    <t xml:space="preserve">Sistem pengembangan suasana akademik dalam bentuk: (1) kebijakan dan strategi, (2) program implementasi yang terjadwal, (3) pengerahan sumber daya, (4) monitoring dan evaluasi, (5) tindak lanjut untuk langkah perbaikan secara berkelanjutan. 
</t>
  </si>
  <si>
    <t xml:space="preserve">Sistem pengembangan suasana akademik dalam bentuk: (1) adanya kebijakan dan strategi, (2) program implementasi yang terjadwal, (3) pengerahan sumber daya, (4) monitoring dan evaluasi tetapi tidak ada tindak lanjut untuk langkah perbaikan secara berkelanjutan.
</t>
  </si>
  <si>
    <t xml:space="preserve">Sistem pengembangan suasana akademik masih parsial dalam: (1) kebijakan dan strategi, (2) program implementasi yang terjadwal, (3) pengerahan sumber daya, (4) monitoring dan evaluasi, (5) tindak lanjut untuk langkah perbaikan secara berkelanjutan
</t>
  </si>
  <si>
    <t xml:space="preserve">Tidak ada sistem pengembangan suasana akademik </t>
  </si>
  <si>
    <t>Tidak ada dokumen.</t>
  </si>
  <si>
    <t>Dokumen pengelolaan dana yang mencakup (1) perencanaan penerimaan dan pengalokasian dana, (2) pelaporan, (3) audit, (4) monitoring dan evaluasi, serta (5) pertanggungjawaban kepada pemangku kepentingan.</t>
  </si>
  <si>
    <t xml:space="preserve">Dokumen yang ada hanya mencakup empat dari lima.
</t>
  </si>
  <si>
    <t xml:space="preserve">Dokumen yang ada hanya mencakup dua s.d. tiga dari lima
</t>
  </si>
  <si>
    <t xml:space="preserve">Dokumen yang ada hanya mencakup hanya satu dari lima
</t>
  </si>
  <si>
    <t xml:space="preserve">Dokumen yang ada mencakup kelimanya
</t>
  </si>
  <si>
    <t>FORMAT 1. PENILAIAN BORANG INSTITUSI PERGURUAN TINGGI</t>
  </si>
  <si>
    <t>7.3.5</t>
  </si>
  <si>
    <t>6.1.3</t>
  </si>
  <si>
    <t>6.1.4</t>
  </si>
  <si>
    <t>6.1.5</t>
  </si>
  <si>
    <t>6.1.6</t>
  </si>
  <si>
    <t>6.1.7</t>
  </si>
  <si>
    <t>6.1.8</t>
  </si>
  <si>
    <t>6.1.9</t>
  </si>
  <si>
    <t>6.2.5</t>
  </si>
  <si>
    <t>6.2.6</t>
  </si>
  <si>
    <t>6.2.7</t>
  </si>
  <si>
    <t>6.3.5</t>
  </si>
  <si>
    <t>6.3.6</t>
  </si>
  <si>
    <t>6.3.7</t>
  </si>
  <si>
    <t>6.3.8</t>
  </si>
  <si>
    <t>7.1.1</t>
  </si>
  <si>
    <t>7.1.5</t>
  </si>
  <si>
    <t>7.2.3</t>
  </si>
  <si>
    <t>7.3.4</t>
  </si>
  <si>
    <t>Mekanisme penetapan biaya pendidikan mahasiswa dengan mengikutsertakan semua pemangku kepentingan internal.</t>
  </si>
  <si>
    <t>Ada mekanisme yang terdokumentasi tentang penetapan biaya pendidikan yang dibebankan pada mahasiswa berdasarkan hasil analisis kebutuhan yang mengikutsertakan semua pemangku kepentingan internal</t>
  </si>
  <si>
    <r>
      <t xml:space="preserve">Ada mekanisme yang terdokumentasi tentang penetapan biaya pendidikan yang dibebankan pada mahasiswa, tetapi </t>
    </r>
    <r>
      <rPr>
        <b/>
        <sz val="10"/>
        <color indexed="8"/>
        <rFont val="Arial"/>
        <family val="2"/>
      </rPr>
      <t>tidak</t>
    </r>
    <r>
      <rPr>
        <sz val="10"/>
        <color indexed="8"/>
        <rFont val="Arial"/>
        <family val="2"/>
      </rPr>
      <t xml:space="preserve"> berdasarkan hasil analisis kebutuhan yang mengikutsertakan semua pemangku kepentingan internal</t>
    </r>
  </si>
  <si>
    <r>
      <t xml:space="preserve">Ada mekanisme tentang penetapan biaya pendidikan yang  dibebankan pada mahasiswa, tetapi </t>
    </r>
    <r>
      <rPr>
        <b/>
        <sz val="10"/>
        <color indexed="8"/>
        <rFont val="Arial"/>
        <family val="2"/>
      </rPr>
      <t>tidak</t>
    </r>
    <r>
      <rPr>
        <sz val="10"/>
        <color indexed="8"/>
        <rFont val="Arial"/>
        <family val="2"/>
      </rPr>
      <t xml:space="preserve"> terdokumentasi.</t>
    </r>
  </si>
  <si>
    <t>Tidak ada mekanisme tentang penetapan biaya pendidikan yang dibebankan pada mahasiswa.</t>
  </si>
  <si>
    <t>nmn</t>
  </si>
  <si>
    <t>bnb</t>
  </si>
  <si>
    <t>Kebijakan mengenai pembiayaan mahasiswa yang berpotensi secara akademik dan kurang mampu secara ekonomi, serta persentase mahasiswa yang mendapatkan keringanan atau pembebasan biaya pendidikan terhadap total mahasiswa.</t>
  </si>
  <si>
    <t>Tidak ada kebijakan mengenai keringanan/pembebasan biaya untuk mahasiswa yang berpotensi secara akademik dan kurang mampu secara ekonomi.</t>
  </si>
  <si>
    <t>Ada kebijakan dan mahasiswa yang menerima jumlahnya memadai</t>
  </si>
  <si>
    <r>
      <t xml:space="preserve">Ada kebijakan namun mahasiswa yang menerima jumlahnya </t>
    </r>
    <r>
      <rPr>
        <b/>
        <sz val="10"/>
        <color indexed="8"/>
        <rFont val="Arial"/>
        <family val="2"/>
      </rPr>
      <t>kurang</t>
    </r>
    <r>
      <rPr>
        <sz val="10"/>
        <color indexed="8"/>
        <rFont val="Arial"/>
        <family val="2"/>
      </rPr>
      <t xml:space="preserve"> memadai.</t>
    </r>
  </si>
  <si>
    <t>Ada kebijakan namun kurang jelas pelaksanaannya/ tidak ada bukti yang sahih.</t>
  </si>
  <si>
    <t>Jumlah dana yg berasal dari mahasiswa</t>
  </si>
  <si>
    <t xml:space="preserve">Persentase dana perguruan tinggi yang berasal dari mahasiswa (SPP dan sumbangan lainnya) </t>
  </si>
  <si>
    <r>
      <t>PD</t>
    </r>
    <r>
      <rPr>
        <vertAlign val="subscript"/>
        <sz val="10"/>
        <color indexed="8"/>
        <rFont val="Arial"/>
        <family val="2"/>
      </rPr>
      <t>MHS</t>
    </r>
    <r>
      <rPr>
        <sz val="10"/>
        <color indexed="8"/>
        <rFont val="Arial"/>
        <family val="2"/>
      </rPr>
      <t xml:space="preserve"> = Persentase dana perguruan tinggi yang berasal dari mahasiswa (SPP dan sumbangan lainnya)</t>
    </r>
  </si>
  <si>
    <t>Jumlah dana total</t>
  </si>
  <si>
    <t>Jumlah dana operasional/mahasiswa/tahun (=DOM)</t>
  </si>
  <si>
    <t>Penggunaan dana untuk operasional (pendidikan, penelitian, pengabdian pada masyarakat, termasuk gaji dan upah, dan investasi prasarana, sarana, dan SDM).</t>
  </si>
  <si>
    <r>
      <t>R</t>
    </r>
    <r>
      <rPr>
        <vertAlign val="subscript"/>
        <sz val="10"/>
        <color indexed="8"/>
        <rFont val="Arial"/>
        <family val="2"/>
      </rPr>
      <t>PD</t>
    </r>
    <r>
      <rPr>
        <sz val="10"/>
        <color indexed="8"/>
        <rFont val="Arial"/>
        <family val="2"/>
      </rPr>
      <t xml:space="preserve">  = Rata-rata dana penelitian/dosen tetap/tahun </t>
    </r>
  </si>
  <si>
    <t>rt</t>
  </si>
  <si>
    <t>df</t>
  </si>
  <si>
    <r>
      <t>R</t>
    </r>
    <r>
      <rPr>
        <vertAlign val="subscript"/>
        <sz val="10"/>
        <color indexed="8"/>
        <rFont val="Arial"/>
        <family val="2"/>
      </rPr>
      <t>PKM</t>
    </r>
    <r>
      <rPr>
        <sz val="10"/>
        <color indexed="8"/>
        <rFont val="Arial"/>
        <family val="2"/>
      </rPr>
      <t xml:space="preserve">  = Rata-rata dana pelayanan/pengabdian kepada masyarakat /dosen tetap/tahun.</t>
    </r>
  </si>
  <si>
    <t>wsw</t>
  </si>
  <si>
    <t>Sistem monitoring dan evaluasi pendanaan internal untuk pemanfaatan dana yang lebih efektif. transparan dan memenuhi aturan keuangan yang berlaku.</t>
  </si>
  <si>
    <t>Sistem monitoring dan evaluasi pendanaan serta kinerja yang akuntabel yang dilakukan secara berkala, hasilnya didokumentasikan dan ditindaklanjuti.</t>
  </si>
  <si>
    <t>Sistem monitoring dan evaluasi pendanaan serta kinerja yang akuntabel yang, dilakukan secara berkala, hasilnya didokumentasikan, tetapi tidak  ditindaklanjuti.</t>
  </si>
  <si>
    <t>Tidak ada sistem monitoring dan evaluasi pendanaan serta kinerja.</t>
  </si>
  <si>
    <t>rtrtt</t>
  </si>
  <si>
    <t>Laporan audit keuangan yang transparan dan dapat diakses oleh semua pemangku kepentingan.</t>
  </si>
  <si>
    <t>Laporan audit keuangan yang dilakukan secara berkala oleh auditor eksternal yang kompeten dan hasilnya dipublikasikan serta ditindaklanjuti oleh perguruan tinggi.</t>
  </si>
  <si>
    <t>Laporan audit keuangan yang dilakukan secara berkala oleh auditor eksternal yang kompeten dan hasilnya dipublikasikan tetapi tidak ditindaklanjuti oleh perguruan tinggi.</t>
  </si>
  <si>
    <t>Laporan audit keuangan yang dilakukan secara berkala oleh auditor eksternal yang kompeten tetapi hasilnya tidak dipublikasikan dan tidak ditindaklanjuti oleh perguruan tinggi.</t>
  </si>
  <si>
    <t>Laporan audit keuangan tidak dilakukan secara berkala</t>
  </si>
  <si>
    <t xml:space="preserve">Tidak ada laporan audit keuangan </t>
  </si>
  <si>
    <t>Ada dokumen untuk semua aspek dan diimplementasikan</t>
  </si>
  <si>
    <t>Ada dokumen untuk dua sampai tiga aspek dan diimplementasikan</t>
  </si>
  <si>
    <t>Ada dokumen yang hanya berisi satu aspek yg diimplementasikan</t>
  </si>
  <si>
    <t>Tidak ada dokumen pengelolaan prasarana dan sarana yang berisi kebijakan, peraturan, dan pedoman/panduan.</t>
  </si>
  <si>
    <t>fdfd</t>
  </si>
  <si>
    <t>Kepemilikan dan  penggunaan lahan.</t>
  </si>
  <si>
    <t xml:space="preserve">Kepemilikan dan penggunaan lahan: (1) Lahan milik sendiri, (2) Luas lahan &gt; 5000m2, (3) Lahan digunakan untuk kegiatan kependidikan
</t>
  </si>
  <si>
    <t xml:space="preserve">Kepemilikan dan penggunaan lahan: (1) Lahan milik sendiri  atau sewa/pinjaman/kerjasama (minimal 20 tahun diikat dengan perjanjian formal), (2) Luas lahan lahan &gt; 5000m2, (3) Lahan digunakan untuk kegiatan kependidikan
</t>
  </si>
  <si>
    <t xml:space="preserve">Kepemilikan dan penggunaan lahan: (1) Lahan milik sendiri atau sewa/pinjaman/kerjasama (minimal 20 tahun diikat dengan perjanjian formal), (2) Luas lahan &lt; 5000m2, (3) Lahan digunakan untuk kegiatan kependidikan
</t>
  </si>
  <si>
    <t>Tidak memiliki lahan milik sendiri</t>
  </si>
  <si>
    <t>Kecukupan dan mutu prasarana yang dikelola perguruan tinggi.</t>
  </si>
  <si>
    <t>Prasarana sangat lengkap, dibuktikan dengan tersedianya fasilitas kegiatan akademik dan non-akademik yang sangat memadai.</t>
  </si>
  <si>
    <t>Prasarana lengkap, dibuktikan dengan tersedianya fasilitas kegiatan akademik  yang memadai, namun fasilitas untuk kegiatan non-akademik kurang memadai.</t>
  </si>
  <si>
    <t>Prasarana hanya cukup untuk mendukung kegiatan akademik.</t>
  </si>
  <si>
    <t>Prasarana sangat kurang.</t>
  </si>
  <si>
    <t>Rencana pengembangan prasarana.</t>
  </si>
  <si>
    <t xml:space="preserve">Rencana pengembangan prasarana sangat baik dan didukung oleh dana yang memadai </t>
  </si>
  <si>
    <t xml:space="preserve">Rencana pengembangan prasarana baik dan didukung oleh dana yang memadai </t>
  </si>
  <si>
    <t xml:space="preserve">Rencana pengembangan prasarana baik tetapi kurang didukung oleh dana yang memadai </t>
  </si>
  <si>
    <t xml:space="preserve">Rencana pengembangan prasarana tidak baik dan tidak didukung oleh dana yang memadai </t>
  </si>
  <si>
    <t>Perguruan tinggi tidak punya rencana pengembangan prasarana.</t>
  </si>
  <si>
    <t>Buku teks (0 - 4)</t>
  </si>
  <si>
    <t>Jurnal Internasional  (0 - 4)</t>
  </si>
  <si>
    <t>Jurnal nasional terakreditasi  (0 - 4)</t>
  </si>
  <si>
    <t>Prosiding (0 - 4)</t>
  </si>
  <si>
    <t>C</t>
  </si>
  <si>
    <t>D</t>
  </si>
  <si>
    <t xml:space="preserve">  (4=sangat memadai, 3=memadai, 2=cukup, 1=kurang, 0=sangat kurang)</t>
  </si>
  <si>
    <t>Skor = (4*A + 3*B + 2*C + D)/10</t>
  </si>
  <si>
    <t xml:space="preserve">Aksesibilitas dan pemanfaatan bahan pustaka, mencakup: (1) waktu  layanan, (2) mutu layanan (kemudahan mencari bahan pustaka, keleluasaan meminjam, bantuan mencarikan bahan pustaka dari perpustakaan lain)
(3) ketersediaan layanan e-library
</t>
  </si>
  <si>
    <t>Memenuhi kebutuhan pengguna dengan baik dan dikunjungi oleh &gt; 30% mahasiswa dan dosen</t>
  </si>
  <si>
    <t>Memenuhi kebutuhan pengguna dengan baik dan dikunjungi oleh 20%-30% mahasiswa dan dosen</t>
  </si>
  <si>
    <t>Memenuhi kebutuhan pengguna dengan baik dan dikunjungi oleh &lt;20% mahasiswa dan dosen</t>
  </si>
  <si>
    <t>Pelayanan perpustakaan kurang baik.</t>
  </si>
  <si>
    <t>Tidak ada layanan perpustakaan.</t>
  </si>
  <si>
    <t>fds</t>
  </si>
  <si>
    <t>sdas</t>
  </si>
  <si>
    <t>dvd</t>
  </si>
  <si>
    <t>Penyediaan prasarana dan sarana pembelajaran terpusat untuk mendukung interaksi akademik antara mahasiswa, dosen, pakar, dan nara sumber lainnya dalam kegiatan-kegiatan pembelajaran dan aksesibilitasnya.</t>
  </si>
  <si>
    <t>Prasarana dan sarana pembelajaran (antara lain perpustakaan dan  laboratorium) yang terpusat dan lengkap serta mudah diakses sivitas akademika</t>
  </si>
  <si>
    <r>
      <t xml:space="preserve">Prasarana dan sarana pembelajaran (antara lain perpustakaan dan  laboratorium) yang terpusat tetapi </t>
    </r>
    <r>
      <rPr>
        <b/>
        <sz val="10"/>
        <color indexed="8"/>
        <rFont val="Arial"/>
        <family val="2"/>
      </rPr>
      <t>tidak lengkap</t>
    </r>
    <r>
      <rPr>
        <sz val="10"/>
        <color indexed="8"/>
        <rFont val="Arial"/>
        <family val="2"/>
      </rPr>
      <t xml:space="preserve"> serta mudah diakses sivitas akademika</t>
    </r>
  </si>
  <si>
    <r>
      <t xml:space="preserve">Prasarana dan sarana pembelajaran (antara lain perpustakaan dan  laboratorium) yang terpusat dan </t>
    </r>
    <r>
      <rPr>
        <b/>
        <sz val="10"/>
        <color indexed="8"/>
        <rFont val="Arial"/>
        <family val="2"/>
      </rPr>
      <t>agak</t>
    </r>
    <r>
      <rPr>
        <sz val="10"/>
        <color indexed="8"/>
        <rFont val="Arial"/>
        <family val="2"/>
      </rPr>
      <t xml:space="preserve"> </t>
    </r>
    <r>
      <rPr>
        <b/>
        <sz val="10"/>
        <color indexed="8"/>
        <rFont val="Arial"/>
        <family val="2"/>
      </rPr>
      <t>lengkap</t>
    </r>
    <r>
      <rPr>
        <sz val="10"/>
        <color indexed="8"/>
        <rFont val="Arial"/>
        <family val="2"/>
      </rPr>
      <t xml:space="preserve"> serta mudah diakses sivitas akademika</t>
    </r>
  </si>
  <si>
    <t xml:space="preserve">Tidak ada prasarana dan sarana pembelajaran terpusat. </t>
  </si>
  <si>
    <t>Tidak ada sistem informasi dan fasilitas yang digunakan perguruan tinggi dalam proses pembelajaran,</t>
  </si>
  <si>
    <t>Sistem informasi dan fasilitas yang digunakan perguruan tinggi dalam  proses pembelajaran, meliputi (1) komputer yang terhubung dengan jaringan luas/internet, (2) software yang berlisensi dengan jumlah yang memadai. 
(3) fasilitas e-learning yang digunakan secara baik, (4) akses on-line ke koleksi perpustakaan.</t>
  </si>
  <si>
    <t>Sistem informasi yang ada meliputi semuanya.</t>
  </si>
  <si>
    <t>Meliputi dua sampai tiga dari empat fasilitas:</t>
  </si>
  <si>
    <t xml:space="preserve">Hanya meliputi satu dari empat fasilitas </t>
  </si>
  <si>
    <t>jtyjyu</t>
  </si>
  <si>
    <t>Sistem informasi dan fasilitas yang digunakan perguruan tinggi dalam administrasi (akademik dan umum).</t>
  </si>
  <si>
    <t>Perguruan tinggi menggunakan sistem informasi administrasi manual</t>
  </si>
  <si>
    <t xml:space="preserve">Meliputi semua fasilitas berikut.
(1) Komputer yang terhubung dengan jaringan luas/internet 
(2) Software basis data yang memadai. 
(3) Akses terhadap data yang relevan sangat cepat.
</t>
  </si>
  <si>
    <t xml:space="preserve">Meliputi dua dari tiga fasilitas berikut.
(1) Komputer yang terhubung dengan jaringan luas/internet 
(2) Software basis data yang memadai. 
(3) Akses terhadap data yang relevan sangat cepat.
</t>
  </si>
  <si>
    <t xml:space="preserve">Meliputi satu dari tiga fasilitas berikut.
(1) Komputer yang terhubung dengan jaringan luas/internet 
(2) Software basis data yang memadai. 
(3) Akses terhadap data yang relevan sangat cepat.
</t>
  </si>
  <si>
    <t>thg</t>
  </si>
  <si>
    <t>Sistem informasi untuk pengelolaan prasarana dan sarana yang transparan, akurat dan cepat.</t>
  </si>
  <si>
    <t>Sistem informasi untuk pengelolaan  prasarana dan sarana yang  transparan, akurat dan cepat.</t>
  </si>
  <si>
    <t xml:space="preserve">Sistem informasi untuk pengelolaan  prasarana dan sarana yang akurat, cepat, tetapi kurang transparan. </t>
  </si>
  <si>
    <t>Sistem informasi untuk pengelolaan  prasarana yang kurang transparan, akurat dan cepat.</t>
  </si>
  <si>
    <t>Sistem informasi untuk pengelolaan  prasarana dan sarana tidak transparan, akurat dan cepat.</t>
  </si>
  <si>
    <t>Sistem pendukung pengambilan keputusan (decision support system) yang lengkap, efektif, dan obyektif.</t>
  </si>
  <si>
    <t>Sistem pendukung pengambilan keputusan yang lengkap, efektif, dan obyektif.</t>
  </si>
  <si>
    <t>Tidak ada sistem pendukung pengambilan keputusan.</t>
  </si>
  <si>
    <t xml:space="preserve">Sistem pendukung pengambilan keputusan yang memiliki dua dari  tiga unsur berikut: (1) Lengkap, (2) Efektif, (3) Obyektif.
</t>
  </si>
  <si>
    <t xml:space="preserve">Sistem pendukung pengambilan keputusan yang memiliki satu dari tiga unsur berikut: (1) Lengkap, (2) Efektif, (3) Obyektif.
</t>
  </si>
  <si>
    <t>bgfgbf</t>
  </si>
  <si>
    <t xml:space="preserve">Sistem informasi yang dikembangkan minimal meliputi semuanya 
</t>
  </si>
  <si>
    <t xml:space="preserve">Sistem informasi yang dikembangkan meliputi dua sampai tiga dari empat komponen
</t>
  </si>
  <si>
    <t>Sistem informasi yang dikembangkan hanya mencakup satu dari empat komponen</t>
  </si>
  <si>
    <t>Tidak ada sistem informasi yang dikembangkan dan dimanfaatkan.</t>
  </si>
  <si>
    <t>Manfaat sistem informasi untuk mahasiswa dan dosen serta akses terhadap sumber informasi, meliputi (1) Website institusi, (2) Fasilitas internet, (3) Jaringan lokal, (4) Jaringan nirkabel</t>
  </si>
  <si>
    <t>Perguruan tinggi memiliki kapasitas internet dengan rasio bandwidth per mahasiswa yang memadai.</t>
  </si>
  <si>
    <t>KBPM = Kapasitas bandwidth (dalam Kbps per mahasiswa)</t>
  </si>
  <si>
    <t>dcds</t>
  </si>
  <si>
    <t>Skor akhir = (NA + 2 x NB + 3 x NC + 4 x ND) / 13.</t>
  </si>
  <si>
    <t>NA</t>
  </si>
  <si>
    <t>NB</t>
  </si>
  <si>
    <t>NC</t>
  </si>
  <si>
    <t>ND</t>
  </si>
  <si>
    <t>Banyaknya jenis data yang hanya dapat diakses secara manual.</t>
  </si>
  <si>
    <t>Banyaknya jenis data yang maksimum dapat diakses dengan komputer tanpa jaringan.</t>
  </si>
  <si>
    <t>Banyaknya jenis data yang maksimum dapat diakses dengan komputer yang terhubung jaringan lokal (intranet).</t>
  </si>
  <si>
    <t>Banyaknya jenis data yang maksimum dapat diakses dengan komputer yang terhubung jaringan luas (internet).</t>
  </si>
  <si>
    <t>Tidak memiliki blue print sistem informasi pengembangan, pengelolaan,dan pemanfaatan sistem informasi.</t>
  </si>
  <si>
    <t xml:space="preserve">Blue print pengembangan, pengelolaan, dan pemanfaatan sistem informasi, yang mencakup semuanya
</t>
  </si>
  <si>
    <t xml:space="preserve">Blue print pengembangan, pengelolaan, dan pemanfaatan sistem informasi, yang mencakup tiga aspek pertama, tidak memilki sistem disaster recovery.
</t>
  </si>
  <si>
    <t xml:space="preserve">Blue print pengembangan, pengelolaan, dan pemanfaatan sistem informasi, yang mencakup dua aspek pertama, tidak memiliki sistem aliran data dan otorisasi akses data, dan sistem disaster recovery
</t>
  </si>
  <si>
    <t>wqw</t>
  </si>
  <si>
    <t>dfsd</t>
  </si>
  <si>
    <t>dsds</t>
  </si>
  <si>
    <t>Mencakup semua aspek</t>
  </si>
  <si>
    <t>Hanya mencakup dua aspek</t>
  </si>
  <si>
    <t>Hanya mencakup tiga aspek</t>
  </si>
  <si>
    <t>Tidak ada  pedoman pengelolaan penelitian.</t>
  </si>
  <si>
    <t>Jumlah penelitian dosen tetap selama tiga tahun terakhir.</t>
  </si>
  <si>
    <t>Jumlah dosen tetap perguruan tinggi</t>
  </si>
  <si>
    <t>N1+N2 = Jumlah penelitian dengan biaya dari PT atau dosen</t>
  </si>
  <si>
    <t xml:space="preserve">N3+N4 = Jumlah penelitian dengan biaya luar </t>
  </si>
  <si>
    <t xml:space="preserve">N5 = Jumlah penelitian dengan biaya luar negeri  </t>
  </si>
  <si>
    <r>
      <t>n</t>
    </r>
    <r>
      <rPr>
        <vertAlign val="subscript"/>
        <sz val="10"/>
        <rFont val="Arial"/>
        <family val="2"/>
      </rPr>
      <t>c</t>
    </r>
  </si>
  <si>
    <r>
      <t>n</t>
    </r>
    <r>
      <rPr>
        <vertAlign val="subscript"/>
        <sz val="10"/>
        <rFont val="Arial"/>
        <family val="2"/>
      </rPr>
      <t>b</t>
    </r>
  </si>
  <si>
    <r>
      <t>n</t>
    </r>
    <r>
      <rPr>
        <vertAlign val="subscript"/>
        <sz val="10"/>
        <rFont val="Arial"/>
        <family val="2"/>
      </rPr>
      <t>a</t>
    </r>
  </si>
  <si>
    <t xml:space="preserve">Jumlah artikel ilmiah yang dihasilkan oleh dosen tetap dalam tiga tahun terakhir. </t>
  </si>
  <si>
    <t>Jurnal ilmiah internasional</t>
  </si>
  <si>
    <t>Buku tingkat nasional</t>
  </si>
  <si>
    <t>Buku tingkat internasional</t>
  </si>
  <si>
    <t>Karya seni tingkat nasional</t>
  </si>
  <si>
    <t>Karya seni tingkat internasional</t>
  </si>
  <si>
    <t>Karya sastra tingkat nasional</t>
  </si>
  <si>
    <t>Karya sastra tingkat internasional</t>
  </si>
  <si>
    <t xml:space="preserve">Jurnal ilmiah terakreditasi DIKTI
</t>
  </si>
  <si>
    <t>A1</t>
  </si>
  <si>
    <t>A2</t>
  </si>
  <si>
    <t>B1</t>
  </si>
  <si>
    <t>B2</t>
  </si>
  <si>
    <t>C1</t>
  </si>
  <si>
    <t>C2</t>
  </si>
  <si>
    <t>D1</t>
  </si>
  <si>
    <t>D2</t>
  </si>
  <si>
    <t>Nk</t>
  </si>
  <si>
    <t>Nilai kasar = [(A1+B1+C1+D1)+2*(A2+B2+C2+D2)]/f</t>
  </si>
  <si>
    <t>Banyaknya artikel yang tercatat dalam lembaga sitasi.</t>
  </si>
  <si>
    <t xml:space="preserve">Banyaknya artikel ilmiah karya dosen tetap dalam tiga tahun terakhir yang disitasi
</t>
  </si>
  <si>
    <r>
      <t>N</t>
    </r>
    <r>
      <rPr>
        <vertAlign val="subscript"/>
        <sz val="10"/>
        <rFont val="Arial"/>
        <family val="2"/>
      </rPr>
      <t>A</t>
    </r>
  </si>
  <si>
    <t>Karya dosen dan atau mahasiswa yang berupa paten/hak atas kekayaan intelektual (HaKI)/karya yang mendapatkan penghargaan tingkat nasional/internasional.</t>
  </si>
  <si>
    <t>Jumlah karya yang memperoleh paten</t>
  </si>
  <si>
    <t>Jumlah karya yang memperoleh HaKI</t>
  </si>
  <si>
    <t>Jumlah karya yang memperoleh penghargaan dari lembaga nasional atau internasional.</t>
  </si>
  <si>
    <t>Jumlah program studi</t>
  </si>
  <si>
    <t>NK</t>
  </si>
  <si>
    <r>
      <t>Nilai kasar = (4*Na+Nb+2*Nc)/N</t>
    </r>
    <r>
      <rPr>
        <vertAlign val="subscript"/>
        <sz val="10"/>
        <color indexed="8"/>
        <rFont val="Arial"/>
        <family val="2"/>
      </rPr>
      <t>PS</t>
    </r>
  </si>
  <si>
    <t xml:space="preserve">Kebijakan dan upaya perguruan tinggi dalam menjamin keberlanjutan penelitian. PT mewajibkan dan mengupayakan semua unit memenuhi aspek berikut:
(1) Memiliki agenda penelitian jangka panjang.
(2) Tersedianya SDM, prasarana dan sarana yang memungkinkan terlaksananya penelitian secara berkelanjutan.
(3) Mengembangkan dan membina jejaring penelitian.
(4) Mencari berbagai sumber dana penelitian seperti hibah penelitian nasional maupun internasional.
</t>
  </si>
  <si>
    <t>Kebijakan dan upaya untuk ke-empat aspek.</t>
  </si>
  <si>
    <t xml:space="preserve">Kebijakan dan upaya untuk tiga dari empat aspek. </t>
  </si>
  <si>
    <t>Kebijakan dan upaya untuk satu atau dua dari empat aspek.</t>
  </si>
  <si>
    <t>Tidak ada kebijakan dan upaya.</t>
  </si>
  <si>
    <t xml:space="preserve">Ada kebijakan dan upaya untuk tiga dari empat aspek. </t>
  </si>
  <si>
    <t>Ada kebijakan dan upaya untuk satu atau dua dari empat aspek.</t>
  </si>
  <si>
    <t>Ada kebijakan dan upaya untuk semua aspek.</t>
  </si>
  <si>
    <t>ew</t>
  </si>
  <si>
    <t>Tidak ditemukan adanya pedoman pengelolaan pelayanan/ pengabdian kepada masyarakat.</t>
  </si>
  <si>
    <t>Jumlah kegiatan PkM dosen tetap selama tiga tahun terakhir.</t>
  </si>
  <si>
    <t xml:space="preserve">N3+N4 = Jumlah PkM dengan biaya luar </t>
  </si>
  <si>
    <t xml:space="preserve">N5 = Jumlah PkM dengan biaya luar negeri  </t>
  </si>
  <si>
    <t>N1+N2 = Jumlah PkM dengan biaya dari PT atau dosen</t>
  </si>
  <si>
    <t>Nilai kasar = (4*na+2*nb+nc)/f</t>
  </si>
  <si>
    <t xml:space="preserve">Kebijakan dan upaya perguruan tinggi dalam menjamin keberlanjutan kegiatan PkM. 
PT mewajibkan dan mengupayakan semua unit memenuhi aspek berikut:
(1) Memiliki agenda PkM  jangka panjang.
(2) Tersedianya SDM, prasarana dan sarana yang memungkinkan terlaksananya PkM secara berkelanjutan.
(3) Mengembangkan dan membina jejaring PkM.
(4) Mencari berbagai sumber dana PkM.
</t>
  </si>
  <si>
    <t>Tidak ada kebijakan tentang kegiatan kerjasama.</t>
  </si>
  <si>
    <t>Ada kebijakan yang sangat jelas dan upaya (pengelolaan dan monev) yang efektif.</t>
  </si>
  <si>
    <t>Ada kebijakan yang  jelas, namun upayanya kurang efektif.</t>
  </si>
  <si>
    <t>Ada kebijakan namun kurang jelas.</t>
  </si>
  <si>
    <t>Kerjasama dengan institusi di dalam negeri, sangat banyak dalam jumlah.  Semuanya  relevan dengan bidang keahlian PS.</t>
  </si>
  <si>
    <t>Kerjasama dengan institusi di dalam negeri, banyak dalam jumlah.  Sebagian besar relevan dengan bidang keahlian PS</t>
  </si>
  <si>
    <t xml:space="preserve">Kerjasama dengan institusi di dalam negeri, cukup dalam jumlah. 
Sebagian besar relevan dengan bidang keahlian PS. 
</t>
  </si>
  <si>
    <t>Sangat sedikit kerjasama dengan lembaga di dalam negeri.</t>
  </si>
  <si>
    <t>Belum ada atau tidak ada kerjasama.</t>
  </si>
  <si>
    <t>hyu</t>
  </si>
  <si>
    <t>edew</t>
  </si>
  <si>
    <t xml:space="preserve">Kegiatan kerjasama dengan instansi di luar negeri dalam tiga tahun terakhir.
Catatan: Tingkat kecukupan bergantung pada jumlah dosen tetap  pada unit pengelola program studi doktor.
</t>
  </si>
  <si>
    <t xml:space="preserve">Kegiatan kerjasama dengan instansi di dalam negeri dalam tiga tahun terakhir. 
Catatan: Tingkat kecukupan bergantung pada jumlah dosen tetap pada unit pengelola program studi doktor.
</t>
  </si>
  <si>
    <t>Kerjasama dengan institusi di luar negeri, banyak dalam jumlah.  Semuanya  relevan dengan bidang keahlian PS.</t>
  </si>
  <si>
    <t>Kerjasama dengan institusi di luar negeri, cukup dalam jumlah.  Sebagian besar relevan dengan bidang keahlian PS.</t>
  </si>
  <si>
    <t xml:space="preserve">Kerjasama dengan institusi di luar negeri, kurang dalam jumlah.  
Sebagian besar relevan dengan bidang keahlian PS. 
</t>
  </si>
  <si>
    <t>Sangat sedikit kerjasama dengan lembaga di luar negeri.</t>
  </si>
  <si>
    <t>Belum ada atau tidak ada  kerjasama.</t>
  </si>
  <si>
    <t>Monitoring dan evaluasi pelaksanaan dan hasil kerja sama secara berkala.</t>
  </si>
  <si>
    <t xml:space="preserve">Dokumen rancangan, proses, dan hasil monitoring dan evaluasi kerja sama secara berkala selama kerja sama berlangsung, yang dapat diakses oleh semua pemangku kepentingan. </t>
  </si>
  <si>
    <t xml:space="preserve">Dokumen rancangan, proses, dan hasil monitoring dan evaluasi kerja sama secara berkala selama kerja sama berlangsung, yang hanya dapat diakses oleh pemangku kepentingan internal. </t>
  </si>
  <si>
    <t>Dokumen rancangan, proses, dan hasil monitoring dan evaluasi kerja sama secara berkala selama kerja sama berlangsung, yang hanya dapat diakses oleh pimpinan perguruan tinggi.</t>
  </si>
  <si>
    <t>Tidak ditemukan bukti tentang pelaksanaan dan hasil monitoring kerja sama perguruan tinggi dengan fihak lain.</t>
  </si>
  <si>
    <t>dsfd</t>
  </si>
  <si>
    <t>dsa</t>
  </si>
  <si>
    <t>Manfaat dan kepuasan mitra kerja sama.</t>
  </si>
  <si>
    <t>Manfaat dan kepuasan hasil kerja sama dirasakan sebagai bahan untuk meningkatkan mutu program, dan pengembangan lembaga, serta keberlanjutan kerja sama pada kedua mitra yang bersangkutan.</t>
  </si>
  <si>
    <t>Manfaat dan kepuasan hasil kerja sama dirasakan sebagai bahan untuk meningkatkan mutu program, dan pengembangan lembaga pada kedua mitra yang bersangkutan.</t>
  </si>
  <si>
    <t>Manfaat dan kepuasan hasil kerja sama dirasakan sebagai bahan untuk meningkatkan mutu program, pada alah satu mitra yang bersangkutan.</t>
  </si>
  <si>
    <t>Tidak ditemukan bukti tentang manfaat dan kepuasan mitra kerja sama.</t>
  </si>
  <si>
    <t>aaa</t>
  </si>
  <si>
    <t>Status akreditasi BAN-PT untuk seluruh program studi dalam perguruan tinggi. (Catatan: Program studi yang dihitung adalah yang sudah memiliki izin operasional lebih dari dua tahun, dan sudah ada sistem akreditasi BAN-PT)</t>
  </si>
  <si>
    <t xml:space="preserve">Tenaga administrasi
Catatan: Agar dibandingkan dengan kegiatan yang seharusnya dilakukan dalam perguruan tinggi yang bersangkutan. Pertimbangkan aspek sistem IT yang dimiliki dan jumah mahasiswa yang harus dilayani.
</t>
  </si>
  <si>
    <t>Persentase laboran/teknisi/ analis/operator/programer yang memiliki sertifikat kompetensi.</t>
  </si>
  <si>
    <t xml:space="preserve">Sistem pengelolaan prasarana dan sarana berupa kebijakan, peraturan, dan pedoman/ panduan untuk aspek-aspek: (1)  Pengembangan dan pencatatan, (2)  Penetapan penggunaan, (3)  Keamanan dan keselamatan penggunaan,
(4)  Pemeliharaan/ perbaikan/kebersihan.
</t>
  </si>
  <si>
    <t>bbbb</t>
  </si>
  <si>
    <t xml:space="preserve">Kecukupan koleksi perpustakaan, aksesibilitas termasuk ketersediaan dan kemudahan akses e-library.
Untuk setiap bahan pustaka berikut: A. Buku teks, B. Jurnal internasional, C. Jurnal nasional terakreditasi, D. Prosiding
</t>
  </si>
  <si>
    <t xml:space="preserve">Pemilikan pedoman pengelolaan penelitian yang lengkap, dan  dikembangkan serta dipublikasikan oleh institusi. Mencakup aspek-aspek: (1) Kebijakan dasar penelitian  yang meliputi  antara lain: arah dan fokus, jenis dan rekam jejak penelitian unggulan, pola kerja sama dengan pihak luar, pendanaan, sistem kompetisi,
(2) Penanganan plagiasi, paten dan hak atas kekayaan intektual, (3) Rencana dan pelaksanaan penelitian yang mencakup agenda tahunan, (4) Peraturan pengusulan proposal penelitian dan pelaksanaannya
yang terdokumentasi dengan baik serta mudah diakses oleh oleh semua pihak.
</t>
  </si>
  <si>
    <r>
      <t xml:space="preserve">EVALUASI DIRI
</t>
    </r>
    <r>
      <rPr>
        <b/>
        <sz val="14"/>
        <color indexed="8"/>
        <rFont val="Calibri"/>
        <family val="2"/>
      </rPr>
      <t>SEL YANG HARUS DIISI HANYA SEL YANG BERWARNA KUNING</t>
    </r>
  </si>
  <si>
    <r>
      <t xml:space="preserve">Laporan sangat  jelas, didukung oleh data dan informasi yang lengkap, dengan kejelasan mengenai kurun waktu keberlakuan fakta yang dilaporkan, dilengkapi dengan </t>
    </r>
    <r>
      <rPr>
        <i/>
        <sz val="10"/>
        <color theme="1"/>
        <rFont val="Arial"/>
        <family val="2"/>
      </rPr>
      <t>cross-reference</t>
    </r>
    <r>
      <rPr>
        <sz val="10"/>
        <color theme="1"/>
        <rFont val="Arial"/>
        <family val="2"/>
      </rPr>
      <t xml:space="preserve"> antar semua komponen evaluasi-diri</t>
    </r>
  </si>
  <si>
    <r>
      <t xml:space="preserve">Laporan kurang jelas, data dan informasi kurang lengkap, kurun waktu keberlakuan fakta yang dilaporkan tidak jelas, kurang ada </t>
    </r>
    <r>
      <rPr>
        <i/>
        <sz val="10"/>
        <color indexed="8"/>
        <rFont val="Arial"/>
        <family val="2"/>
      </rPr>
      <t>cross-reference</t>
    </r>
    <r>
      <rPr>
        <sz val="10"/>
        <color indexed="8"/>
        <rFont val="Arial"/>
        <family val="2"/>
      </rPr>
      <t xml:space="preserve"> antar komponen evaluasi-diri</t>
    </r>
  </si>
  <si>
    <r>
      <t xml:space="preserve">Laporan disusun dengan jelas, didukung oleh data dan informasi yang cukup lengkap, kurun waktu keberlakuan fakta yang dilaporkan kurang jelas, ada </t>
    </r>
    <r>
      <rPr>
        <i/>
        <sz val="10"/>
        <color indexed="8"/>
        <rFont val="Arial"/>
        <family val="2"/>
      </rPr>
      <t>cross-reference</t>
    </r>
    <r>
      <rPr>
        <sz val="10"/>
        <color indexed="8"/>
        <rFont val="Arial"/>
        <family val="2"/>
      </rPr>
      <t xml:space="preserve"> antar beberapa komponen evaluasi-diri</t>
    </r>
  </si>
  <si>
    <r>
      <t xml:space="preserve">Laporan tidak jelas, data dan informasi tidak lengkap, kurun  waktu keberlakuan fakta yang dilaporkan tidak dijelaskan, tidak ada </t>
    </r>
    <r>
      <rPr>
        <i/>
        <sz val="10"/>
        <color indexed="8"/>
        <rFont val="Arial"/>
        <family val="2"/>
      </rPr>
      <t>cross-reference</t>
    </r>
    <r>
      <rPr>
        <sz val="10"/>
        <color indexed="8"/>
        <rFont val="Arial"/>
        <family val="2"/>
      </rPr>
      <t xml:space="preserve"> antar komponen evaluasi-diri</t>
    </r>
  </si>
  <si>
    <t>Data diolah menjadi informasi dengan menggunakan metode kualitatif dan metode kuantitatif yang  sangat memadai.</t>
  </si>
  <si>
    <t>Data diolah menjadi informasi dengan menggunakan metode kualitatif dan metode kuantitatif yang  cukup memadai.</t>
  </si>
  <si>
    <t>Data diolah menjadi informasi dengan menggunakan metode kualitatif dan sangat sedikit metode kuantitatif.</t>
  </si>
  <si>
    <t>Data diolah menjadi informasi tanpa menggunakan metode kuantitatif.</t>
  </si>
  <si>
    <t>INFORMASI DARI EVALUASI DIRI 
INSTITUSI PERGURUAN TINGGI</t>
  </si>
  <si>
    <t>Identifikasi dan perumusan masalah dilakukan secara kritis, cermat, jujur, terbuka, analitis, sistematis, dan  sistemik.</t>
  </si>
  <si>
    <t>Identifikasi dan perumusan masalah dilakukan secara kritis, cermat, jujur, terbuka, analitis, sistematis tetapi tidak sistemik.</t>
  </si>
  <si>
    <t>Identifikasi dan perumusan masalah dilakukan tanpa memperhatikan sifat  kritis, cermat, jujur, terbuka, analitis, sistematis dan sistemik..</t>
  </si>
  <si>
    <t>Identifikasi dan perumusan masalah dilakukan secara kritis, cermat, jujur, terbuka, tetapi tidak analitis, sistematis dan sistemik.</t>
  </si>
  <si>
    <t>dsass</t>
  </si>
  <si>
    <t>daas</t>
  </si>
  <si>
    <r>
      <rPr>
        <i/>
        <sz val="10"/>
        <color indexed="8"/>
        <rFont val="Arial"/>
        <family val="2"/>
      </rPr>
      <t>Appraisal, judgment</t>
    </r>
    <r>
      <rPr>
        <sz val="10"/>
        <color indexed="8"/>
        <rFont val="Arial"/>
        <family val="2"/>
      </rPr>
      <t xml:space="preserve">, evaluasi, asesmen atas fakta tentang situasi di perguruan tinggi dilakukan secara sangat tepat. </t>
    </r>
  </si>
  <si>
    <r>
      <rPr>
        <i/>
        <sz val="10"/>
        <color indexed="8"/>
        <rFont val="Arial"/>
        <family val="2"/>
      </rPr>
      <t>Appraisal, judgment</t>
    </r>
    <r>
      <rPr>
        <sz val="10"/>
        <color indexed="8"/>
        <rFont val="Arial"/>
        <family val="2"/>
      </rPr>
      <t>, evaluasi, asesmen atas fakta tentang situasi di perguruan tinggi dilakukan secara cukup tepat.</t>
    </r>
  </si>
  <si>
    <r>
      <rPr>
        <i/>
        <sz val="10"/>
        <color indexed="8"/>
        <rFont val="Arial"/>
        <family val="2"/>
      </rPr>
      <t>Appraisal, judgment</t>
    </r>
    <r>
      <rPr>
        <sz val="10"/>
        <color indexed="8"/>
        <rFont val="Arial"/>
        <family val="2"/>
      </rPr>
      <t>, evaluasi, asesmen atas fakta tentang situasi di perguruan tinggi dilakukan secara kurang tepat.</t>
    </r>
  </si>
  <si>
    <r>
      <rPr>
        <i/>
        <sz val="10"/>
        <color indexed="8"/>
        <rFont val="Arial"/>
        <family val="2"/>
      </rPr>
      <t>Appraisal, judgment</t>
    </r>
    <r>
      <rPr>
        <sz val="10"/>
        <color indexed="8"/>
        <rFont val="Arial"/>
        <family val="2"/>
      </rPr>
      <t>, evaluasi, asesmen atas fakta tentang situasi di perguruan tinggi dilakukan secara tidak tepat.</t>
    </r>
  </si>
  <si>
    <t>Permasalahan dan kelemahan perguruan tinggi dirumuskan secara jelas, cermat, jujur, terbuka, analitis, sistematis.</t>
  </si>
  <si>
    <t>Permasalahan dan kelemahan perguruan tinggi dirumuskan secara jelas, cermat, jujur, terbuka, tetapi tidak analitis, sistematis.</t>
  </si>
  <si>
    <t>Permasalahan dan kelemahan perguruan tinggi dirumuskan secara jelas, cermat, jujur, tetapi tidak terbuka, analitis, sistematis.</t>
  </si>
  <si>
    <t>Permasalahan dan kelemahan perguruan tinggi dirumuskan secara tidak jelas.</t>
  </si>
  <si>
    <t>Semua penempatan aspek di dalam komponen SWOT dilakukan dengan benar.</t>
  </si>
  <si>
    <t>Penempatan aspek di dalam komponen SWOT telah dilakukan dengan benar dari 85% s.d. 99%.</t>
  </si>
  <si>
    <t>Penempatan aspek di dalam komponen SWOT yang dilakukan dengan benar dari 70% s.d. 84%.</t>
  </si>
  <si>
    <t>Kurang dari 70% penempatan aspek di dalam komponen SWOT yang dilakukan dengan benar.</t>
  </si>
  <si>
    <t>fd</t>
  </si>
  <si>
    <t xml:space="preserve">Perguruan tinggi menentukan rencana perbaikan dan perkembangan program secara sangat tepat, berdasarkan analisis yang komprehensif tentang situasi dan kondisi yang ada.  </t>
  </si>
  <si>
    <t xml:space="preserve">Perguruan tinggi menentukan rencana perbaikan dan perkembangan program secara tepat, berdasarkan analisis situasi dan kondisi yang ada.  </t>
  </si>
  <si>
    <t xml:space="preserve">Perguruan tinggi menentukan rencana perbaikan dan perkembangan program kurang tepat, meskipun didasarkan pada hasil analisis situasi dan kondisi yang ada.  </t>
  </si>
  <si>
    <t xml:space="preserve">Perguruan tinggi menentukan rencana perbaikan dan perkembangan program tanpa didasari hasil analisis situasi dan kondisi yang ada.  </t>
  </si>
  <si>
    <t>dsf</t>
  </si>
  <si>
    <t>Perguruan tinggi menunjukkan cara yang jelas untuk mengatasi masalah yang dihadapi.</t>
  </si>
  <si>
    <t>Perguruan tinggi menunjukkan cara yang sangat jelas untuk mengatasi masalah yang dihadapi.</t>
  </si>
  <si>
    <t>Perguruan tinggi menunjukkan cara yang kurang jelas untuk mengatasi masalah yang dihadapi.</t>
  </si>
  <si>
    <t>Perguruan tinggi menunjukkan cara yang tidak jelas untuk mengatasi masalah yang dihadapi.</t>
  </si>
  <si>
    <t>Perguruan tinggi menerapkan strategi yang sangat layak dan sangat realistik untuk mencapai sasaran pengembangan program yang sangat layak dan sangat realistik pula.</t>
  </si>
  <si>
    <t>Perguruan tinggi menerapkan strategi yang layak dan realistik untuk mencapai sasaran pengembangan program yang layak dan realistik pula.</t>
  </si>
  <si>
    <t>Perguruan tinggi menerapkan strategi yang kurang layak dan kurang realistik untuk mencapai sasaran pengembangan program.</t>
  </si>
  <si>
    <t>Perguruan tinggi menerapkan strategi yang tidak layak dan tidak realistik untuk mencapai sasaran pengembangan program.</t>
  </si>
  <si>
    <t>vcvx</t>
  </si>
  <si>
    <t>dsvfdsfs</t>
  </si>
  <si>
    <t>sdfsd</t>
  </si>
  <si>
    <t>Laporan menunjukkan analisis keseluruhan komponen evaluasi-diri yang mendalam, komprehensif, dan sistemik.</t>
  </si>
  <si>
    <t>Laporan menunjukkan analisis seseluruhan komponen evaluasi-diri yang mendalam, komprehensif, tetapi tidak sistemik.</t>
  </si>
  <si>
    <t>Laporan menunjukkan analisis seseluruhan komponen evaluasi-diri yang mendalam, tetapi tidak komprehensif dan sistemik.</t>
  </si>
  <si>
    <t>Laporan tidak menunjukkan analisis yang mendalam, komprehensif, dan sistemik.</t>
  </si>
  <si>
    <t>Analisis intra dan antar komponen tergambarkan dengan sangat jelas.</t>
  </si>
  <si>
    <t>Analisis intra dan antar komponen tergambarkan dengan jelas.</t>
  </si>
  <si>
    <t>Analisis intra dan antar komponen tergambarkan dengan kurang jelas.</t>
  </si>
  <si>
    <t>Analisis intra dan antar komponen tergambarkan dengan tidak jelas.</t>
  </si>
  <si>
    <t>ggf</t>
  </si>
  <si>
    <t>bcvbc</t>
  </si>
  <si>
    <t>Identifikasi dan perumusan masalah dilakukan dengan baik</t>
  </si>
  <si>
    <t>gdfgf</t>
  </si>
  <si>
    <r>
      <t xml:space="preserve">Ketepatan dalam melakukan </t>
    </r>
    <r>
      <rPr>
        <i/>
        <sz val="10"/>
        <color indexed="8"/>
        <rFont val="Arial"/>
        <family val="2"/>
      </rPr>
      <t>appraisal, judgment</t>
    </r>
    <r>
      <rPr>
        <sz val="10"/>
        <color indexed="8"/>
        <rFont val="Arial"/>
        <family val="2"/>
      </rPr>
      <t>, evaluasi, asesmen atas fakta tentang situasi di perguruan tinggi.</t>
    </r>
  </si>
  <si>
    <t>Cara  perguruan tinggi mengemukakan fakta tentang situasi perguruan tinggi, pada semua komponen evaluasi-diri, a.l. kelengkapan data,  kurun waktu yang cukup, cross-reference.</t>
  </si>
  <si>
    <r>
      <rPr>
        <b/>
        <sz val="10"/>
        <color indexed="8"/>
        <rFont val="Arial"/>
        <family val="2"/>
      </rPr>
      <t>Akurasi dan kelengkapan data serta informasi yang digunakan untuk menyusun laporan evaluasi-diri.</t>
    </r>
    <r>
      <rPr>
        <sz val="10"/>
        <color indexed="8"/>
        <rFont val="Arial"/>
        <family val="2"/>
      </rPr>
      <t xml:space="preserve">
</t>
    </r>
  </si>
  <si>
    <r>
      <rPr>
        <b/>
        <sz val="10"/>
        <color indexed="8"/>
        <rFont val="Arial"/>
        <family val="2"/>
      </rPr>
      <t>Kualitas analisis yang digunakan untuk mengidentifikasi dan merumuskan masalah pada semua komponen evaluasi-diri.</t>
    </r>
    <r>
      <rPr>
        <sz val="10"/>
        <color indexed="8"/>
        <rFont val="Arial"/>
        <family val="2"/>
      </rPr>
      <t xml:space="preserve">
</t>
    </r>
  </si>
  <si>
    <t>Strategi pengembangan dan perbaikan program.</t>
  </si>
  <si>
    <t xml:space="preserve">Kejelasan perguruan tinggi menunjukkan cara untuk mengatasi masalah yang ada. </t>
  </si>
  <si>
    <t>Keterpaduan dan keterkaitan antar komponen evaluasi-diri.</t>
  </si>
  <si>
    <t xml:space="preserve">Ketepatan perguruan tinggi memilih/ menentukan rencana perbaikan  dari kekurangan yang ada. </t>
  </si>
  <si>
    <t>Tanda Tangan : ………………….</t>
  </si>
  <si>
    <t>Nama Perguruan Tinggi:</t>
  </si>
  <si>
    <t>Nama Asesor:</t>
  </si>
  <si>
    <t>BAN-PT</t>
  </si>
  <si>
    <t>Nama Perguruan Tinggi</t>
  </si>
  <si>
    <t>Nama Asesor</t>
  </si>
  <si>
    <t>Kode Panel</t>
  </si>
  <si>
    <t>FORMAT 2. PENILAIAN EVALUASI DIRI INSTITUSI PERGURUAN TINGGI</t>
  </si>
  <si>
    <t>P019</t>
  </si>
  <si>
    <t xml:space="preserve">Kebijakan, pengelolaan, dan monev oleh perguruan tinggi dalam kegiatan kerjasama untuk menjamin empat aspek berikut:
(1) mutu kegiatan kerjasama,
(2) relevansi kegiatan kerjasama,
(3) produktivitas kegiatan kerjasama, 
(4) keberlanjutan kegiatan kerjasama.
</t>
  </si>
  <si>
    <t>Blue print pengembangan, pengelolaan, dan pemanfaatan sistem informasi yang lengkap, mencakup (1) prasarana dan sarana yang mencukupi, (2) unit pengelola di tingkat institusi, (3) sistem aliran data dan otorisasi akses data, (4) sistem disaster recovery.</t>
  </si>
  <si>
    <t>Informasi dari Laporan 
Evaluasi Diri</t>
  </si>
  <si>
    <t>No.
Butir</t>
  </si>
  <si>
    <t>FORMAT 3. BERITA  ACARA ASESMEN LAPANGAN  INSTITUSI 
PERGURUAN TINGGI</t>
  </si>
  <si>
    <t>Informasi dari Borang PT</t>
  </si>
  <si>
    <t>Informasi dari Borang PT Setelah Diverifikasi Melalui Wawancara dan Observasi</t>
  </si>
  <si>
    <t>Nama dan tandatangan asesor</t>
  </si>
  <si>
    <t>1.</t>
  </si>
  <si>
    <t>2.</t>
  </si>
  <si>
    <t>3.</t>
  </si>
  <si>
    <t>4.</t>
  </si>
  <si>
    <t>5.</t>
  </si>
  <si>
    <t>FORMAT 4. LAPORAN PENILAIAN AKHIR BORANG INSTITUSI
 PERGURUAN TINGGI</t>
  </si>
  <si>
    <t xml:space="preserve">Nama Asesor </t>
  </si>
  <si>
    <t xml:space="preserve">Tanda Tangan </t>
  </si>
  <si>
    <t>……………………………………………………………………</t>
  </si>
  <si>
    <t>…………………….………………………………………...….</t>
  </si>
  <si>
    <t>…………………………………………………………………..</t>
  </si>
  <si>
    <t>………………………………………………………</t>
  </si>
  <si>
    <t>FORMAT 5. LAPORAN PENILAIAN AKHIR EVALUASI DIRI PERGURUAN TINGGI</t>
  </si>
  <si>
    <t>Kode Panel:</t>
  </si>
  <si>
    <t xml:space="preserve">Ketepatan perguruan tinggi memilih/ menentukan rencana perbaikan dari kekurangan yang ada. </t>
  </si>
  <si>
    <t>Asr1</t>
  </si>
  <si>
    <t>Asr2</t>
  </si>
  <si>
    <t>Asr3</t>
  </si>
  <si>
    <t>Asr4</t>
  </si>
  <si>
    <t>Asr5</t>
  </si>
  <si>
    <r>
      <t xml:space="preserve">Cara  perguruan tinggi mengemukakan fakta tentang situasi program studi, pada semua komponen evaluasi-diri, a.l. kelengkapan data, kurun waktu yang cukup, </t>
    </r>
    <r>
      <rPr>
        <i/>
        <sz val="10"/>
        <color indexed="8"/>
        <rFont val="Arial"/>
        <family val="2"/>
      </rPr>
      <t>cross-reference</t>
    </r>
    <r>
      <rPr>
        <sz val="10"/>
        <color indexed="8"/>
        <rFont val="Arial"/>
        <family val="2"/>
      </rPr>
      <t>.</t>
    </r>
  </si>
  <si>
    <r>
      <t xml:space="preserve">Ketepatan dalam melakukan </t>
    </r>
    <r>
      <rPr>
        <i/>
        <sz val="10"/>
        <color indexed="8"/>
        <rFont val="Arial"/>
        <family val="2"/>
      </rPr>
      <t>appraisal,</t>
    </r>
    <r>
      <rPr>
        <sz val="10"/>
        <color indexed="8"/>
        <rFont val="Arial"/>
        <family val="2"/>
      </rPr>
      <t xml:space="preserve"> </t>
    </r>
    <r>
      <rPr>
        <i/>
        <sz val="10"/>
        <color indexed="8"/>
        <rFont val="Arial"/>
        <family val="2"/>
      </rPr>
      <t>judgment</t>
    </r>
    <r>
      <rPr>
        <sz val="10"/>
        <color indexed="8"/>
        <rFont val="Arial"/>
        <family val="2"/>
      </rPr>
      <t xml:space="preserve">, evaluasi, asesmen atas fakta tentang situasi di program studi. </t>
    </r>
  </si>
  <si>
    <t>Kode Perguruan Tinggi</t>
  </si>
  <si>
    <t>F4 (PT)</t>
  </si>
  <si>
    <t>F1 (PT)</t>
  </si>
  <si>
    <t>F 4 (PS)</t>
  </si>
  <si>
    <t>F 5 (ED)</t>
  </si>
  <si>
    <t>F5 (ED)</t>
  </si>
  <si>
    <t>……………………………………………….</t>
  </si>
  <si>
    <t>2. …………………………………………………………………………………………….</t>
  </si>
  <si>
    <t>3. ……………………………………………………………………………………………</t>
  </si>
  <si>
    <t>4. ……………………………………………………………………………………………</t>
  </si>
  <si>
    <t>5. ……………………………………………………………………………………………</t>
  </si>
  <si>
    <r>
      <t xml:space="preserve">1. </t>
    </r>
    <r>
      <rPr>
        <sz val="11"/>
        <color indexed="8"/>
        <rFont val="Calibri"/>
        <family val="2"/>
        <scheme val="minor"/>
      </rPr>
      <t>…………………………………………………………………………………………..</t>
    </r>
  </si>
  <si>
    <t>1. ……………………………………………………………………………….</t>
  </si>
  <si>
    <t>…………………………………………………...…</t>
  </si>
  <si>
    <t>2. ………………………………………………………………………………</t>
  </si>
  <si>
    <t>3. ………………………………………………………………………………</t>
  </si>
  <si>
    <t>4. ………………………………………………………………………………</t>
  </si>
  <si>
    <t>5. ………………………………………………………………………………</t>
  </si>
  <si>
    <t>(…………………………………………………………………..)</t>
  </si>
  <si>
    <t>2. ……………………………………………….</t>
  </si>
  <si>
    <t>1. ……………………………………………….</t>
  </si>
  <si>
    <t>3. ……………………………………………….</t>
  </si>
  <si>
    <t>4. ……………………………………………….</t>
  </si>
  <si>
    <t>5. ……………………………………………….</t>
  </si>
  <si>
    <t xml:space="preserve">    LAPORAN 
     AKHIR</t>
  </si>
  <si>
    <t>MENU INSTITUSI PT</t>
  </si>
  <si>
    <t>FORMAT 6. REKOMENDASI PEMBINAAN PERGURUAN TINGGI</t>
  </si>
  <si>
    <t>bobot</t>
  </si>
  <si>
    <t>nilai</t>
  </si>
  <si>
    <t>Jumlah nilai</t>
  </si>
  <si>
    <t>Peringkat</t>
  </si>
  <si>
    <t>Banyaknya program studi (Lihat butir 2.4.6)</t>
  </si>
  <si>
    <t xml:space="preserve">Kepemilikan dan penggunaan lahan: (1) Lahan milik sendiri atau sewa/pinjaman/kerjasama (minimal 20 tahun diikat dengan perjanjian formal), (2) Luas lahan + 5000m2, (3) Lahan digunakan untuk kegiatan kependidikan
</t>
  </si>
  <si>
    <t>vvxfv</t>
  </si>
  <si>
    <t>xcvx</t>
  </si>
  <si>
    <t>vxc</t>
  </si>
  <si>
    <t>xcvxgdfgdfgggdfgdfg</t>
  </si>
  <si>
    <t xml:space="preserve">Memiliki: (1) rancangan dan analisis jabatan, (2) uraian tugas, (3) prosedur kerja, (4) program peningkatan kompetensi manajerial yang sistematis untuk pengelola unit kerja, yang menggambarkan keefektifan dan efisiensi manajemen operasi di setiap unit kerja.
</t>
  </si>
  <si>
    <t xml:space="preserve">Memiliki: (1) rancangan dan analisis jabatan, (2) uraian tugas, (3) prosedur kerja, yang menggambarkan keefektifan dan efisiensi manajemen operasi di setiap unit kerja, tetapi tidak ada program peningkatan kompetensi manajerial perguruan tinggi.
</t>
  </si>
  <si>
    <t xml:space="preserve">Memiliki: (1) rancangan dan analisis jabatan, (2) uraian tugas, (3) prosedur kerja, tetapi tidak menggambarkan keefektifan dan efisiensi manajemen operasi di setiap unit kerja.
</t>
  </si>
  <si>
    <r>
      <t xml:space="preserve">Perguruan tinggi tidak menyebarluaskan hasil kinerjanya kepada </t>
    </r>
    <r>
      <rPr>
        <i/>
        <sz val="10"/>
        <color indexed="8"/>
        <rFont val="Arial"/>
        <family val="2"/>
      </rPr>
      <t>stakeholders</t>
    </r>
    <r>
      <rPr>
        <sz val="10"/>
        <color indexed="8"/>
        <rFont val="Arial"/>
        <family val="2"/>
      </rPr>
      <t>.</t>
    </r>
  </si>
  <si>
    <t>Perguruan tinggi menyebarluaskan hasil kinerjanya secara berkala kepada semua stakeholders, minimal setiap tahun.</t>
  </si>
  <si>
    <t>Perguruan tinggi menyebarluaskan hasil kinerjanya secara berkala, tetapi hanya untuk internal stakeholders.</t>
  </si>
  <si>
    <r>
      <t xml:space="preserve">Perguruan tinggi menyebarluaskan hasil kinerjanya kepada internal </t>
    </r>
    <r>
      <rPr>
        <i/>
        <sz val="10"/>
        <color indexed="8"/>
        <rFont val="Arial"/>
        <family val="2"/>
      </rPr>
      <t>stakeholders</t>
    </r>
    <r>
      <rPr>
        <sz val="10"/>
        <color indexed="8"/>
        <rFont val="Arial"/>
        <family val="2"/>
      </rPr>
      <t>, tetapi tidak dilakukan secara berkala.</t>
    </r>
  </si>
  <si>
    <t>Tidak menggunakan lembaga audit eksternal.</t>
  </si>
  <si>
    <t>Menggunakan lembaga audit eksternal kredibel dan hasil auditnya  digunakan serta didiseminasikan dengan baik.</t>
  </si>
  <si>
    <t>Menggunakan lembaga audit eksternal kredibel namun hasil auditnya tidak digunakan dengan baik atau tidak didiseminasikan dengan baik.</t>
  </si>
  <si>
    <t>Menggunakan lembaga audit eksternal kredibel, namun hasilnya sama sekali tidak ditindaklanjuti.</t>
  </si>
  <si>
    <r>
      <t xml:space="preserve">Ada manual mutu yang lengkap meliputi: (1) Pernyataan Mutu, (2) Kebijakan Mutu, (3) Unit Pelaksana, (4) Standar Mutu, (5) Prosedur Mutu, (6) Instruksi Kerja, (7) Pentahapan Sasaran Mutu, dan </t>
    </r>
    <r>
      <rPr>
        <b/>
        <sz val="10"/>
        <rFont val="Arial"/>
        <family val="2"/>
      </rPr>
      <t>terintegrasi</t>
    </r>
    <r>
      <rPr>
        <sz val="10"/>
        <rFont val="Arial"/>
        <family val="2"/>
      </rPr>
      <t xml:space="preserve"> dalam suatu sistem dokumen.
</t>
    </r>
  </si>
  <si>
    <t>Manual mutu yang ada hanya meliputi: (1) Pernyataan Mutu, (2) Kebijakan mutu, (3) Unit Pelaksana, (4) Standar Mutu, (5) Prosedur Mutu, (6) Instruksi Kerja</t>
  </si>
  <si>
    <r>
      <t xml:space="preserve">Ada manual mutu yang lengkap, meliputi: (1) Pernyataan Mutu, (2) Kebijakan Mutu, (3) Unit Pelaksana, (4) Standar Mutu, (5) Prosedur Mutu, (6) Instruksi Kerja, (7) Pentahapan Sasaran Mutu tetapi </t>
    </r>
    <r>
      <rPr>
        <b/>
        <sz val="10"/>
        <rFont val="Arial"/>
        <family val="2"/>
      </rPr>
      <t>tidak terintegrasi</t>
    </r>
    <r>
      <rPr>
        <sz val="10"/>
        <rFont val="Arial"/>
        <family val="2"/>
      </rPr>
      <t xml:space="preserve"> dalam suatu sistem dokumen.
</t>
    </r>
  </si>
  <si>
    <t xml:space="preserve">Pelaksanaan dan pencapaian sasaran penjaminan mutu di bidang (1) pendidikan, tetapi tidak ada di bidang penelitian  atau PkM
</t>
  </si>
  <si>
    <t xml:space="preserve">Perguruan tinggi memberikan pembinaan sangat baik dalam: (1) pengembangan program studi, (2)  penyusunan dokumen akreditasi dalam bentuk pelatihan, dana, dan informasi.
</t>
  </si>
  <si>
    <r>
      <t>Jumlah seluruh program studi = N</t>
    </r>
    <r>
      <rPr>
        <vertAlign val="subscript"/>
        <sz val="10"/>
        <color rgb="FF000000"/>
        <rFont val="Arial"/>
        <family val="2"/>
      </rPr>
      <t>A</t>
    </r>
    <r>
      <rPr>
        <sz val="10"/>
        <color rgb="FF000000"/>
        <rFont val="Arial"/>
        <family val="2"/>
      </rPr>
      <t xml:space="preserve"> + N</t>
    </r>
    <r>
      <rPr>
        <vertAlign val="subscript"/>
        <sz val="10"/>
        <color rgb="FF000000"/>
        <rFont val="Arial"/>
        <family val="2"/>
      </rPr>
      <t>B</t>
    </r>
    <r>
      <rPr>
        <sz val="10"/>
        <color rgb="FF000000"/>
        <rFont val="Arial"/>
        <family val="2"/>
      </rPr>
      <t xml:space="preserve"> + N</t>
    </r>
    <r>
      <rPr>
        <vertAlign val="subscript"/>
        <sz val="10"/>
        <color rgb="FF000000"/>
        <rFont val="Arial"/>
        <family val="2"/>
      </rPr>
      <t>C</t>
    </r>
    <r>
      <rPr>
        <sz val="10"/>
        <color rgb="FF000000"/>
        <rFont val="Arial"/>
        <family val="2"/>
      </rPr>
      <t xml:space="preserve"> + N</t>
    </r>
    <r>
      <rPr>
        <vertAlign val="subscript"/>
        <sz val="10"/>
        <color rgb="FF000000"/>
        <rFont val="Arial"/>
        <family val="2"/>
      </rPr>
      <t>K</t>
    </r>
    <r>
      <rPr>
        <sz val="10"/>
        <color rgb="FF000000"/>
        <rFont val="Arial"/>
        <family val="2"/>
      </rPr>
      <t xml:space="preserve"> + N</t>
    </r>
    <r>
      <rPr>
        <vertAlign val="subscript"/>
        <sz val="10"/>
        <color rgb="FF000000"/>
        <rFont val="Arial"/>
        <family val="2"/>
      </rPr>
      <t>O</t>
    </r>
  </si>
  <si>
    <t>tempat menambahkan komentar tambahan</t>
  </si>
  <si>
    <t>Mencakup hanya tiga unsur: (1) Kebijakan dan strategi dan komitmen institusi untuk mendorong seluruh program studi melakukan proses pelacakan dan evaluasi lulusan, (2) Instrumen yang sahih dan andal disesuaikan dengan kondisi perguruan tinggi, (3) Monitoring dan evaluasi keefektifan proses pelacakan dan pemberdayaan lulusan, tetapi tidak ada  tindak lanjut untuk mencapai sasaran yang ditetapkan.</t>
  </si>
  <si>
    <t>Mencakup semua unsur: (1) Kebijakan dan strategi dan komitmen institusi untuk mendorong seluruh program studi melakukan proses pelacakan dan evaluasi lulusan, (2) Instrumen yang sahih dan andal disesuaikan dengan kondisi perguruan tinggi, (3) Monitoring dan evaluasi keefektifan proses pelacakan dan pemberdayaan lulusan, (4) Tindak lanjut untuk mencapai sasaran yang ditetapkan.</t>
  </si>
  <si>
    <t>Hanya mencakup satu atau dua diantara unsur berikut: (1) Kebijakan dan strategi dan komitmen institusi untuk mendorong seluruh program studi melakukan proses pelacakan dan evaluasi lulusan, (2) instrumen yang sahih dan andal disesuaikan dengan kondisi perguruan tinggi, (3) Monitoring dan evaluasi keefektifan proses pelacakan dan pemberdayaan lulusan, (4) Tindak lanjut untuk mencapai sasaran yang ditetapkan.</t>
  </si>
  <si>
    <t>Mencakup: (1)  perencanaan, (2)  rekrutmen, seleksi, dan pemberhentian pegawai, (3)  orientasi dan penempatan pegawai, (4)  pengembangan karir, (5)  remunerasi, penghargaan, dan sanksi, yang transparan dan akuntabel berbasis pada meritokrasi.</t>
  </si>
  <si>
    <t>Mencakup: (1) perencanaan, (2) rekrutmen, seleksi, dan pemberhentian pegawai, (3) orientasi dan penempatan pegawai, (4) pengembangan karir, (5) remunerasi, penghargaan, dan sanksi, yang berbasis pada meritokrasi, tetapi tidak transparan dan akuntabel.</t>
  </si>
  <si>
    <t>Mencakup: (1) perencanaan, (2) rekrutmen, seleksi, dan pemberhentian pegawai, (3) orientasi dan penempatan pegawai, (4) pengembangan karir, (5) remunerasi, penghargaan, dan sanksi, tetapi  tidak transparan dan akuntabel serta tidak berbasis pada meritokrasi.</t>
  </si>
  <si>
    <t>Tidak ada dokumen formal sistem pengelolaan sumber daya manusia.</t>
  </si>
  <si>
    <t xml:space="preserve">Monev kinerja dosen di bidang: (1) pendidikan, (2) penelitian, (3) pelayanan/ pengabdian kepada masyarakat, yang terdokumentasi dengan baik. </t>
  </si>
  <si>
    <t xml:space="preserve">Monev tentang kinerja dosen di bidang: (1) pendidikan, (2) penelitian, 
(3) pelayanan/ pengabdian kepada masyarakat, tetapi tidak terdokumentasi dengan baik.  </t>
  </si>
  <si>
    <t xml:space="preserve">Monev kinerja dosen di bidang pendidikan yang terdokumentasikan dengan baik tetapi tidak ada bukti di bidang penelitian atau pelayanan/ pengabdian kepada masyarakat. </t>
  </si>
  <si>
    <r>
      <t xml:space="preserve">Nilai (Jumlah tanda </t>
    </r>
    <r>
      <rPr>
        <sz val="10"/>
        <color indexed="8"/>
        <rFont val="Calibri"/>
        <family val="2"/>
      </rPr>
      <t>√</t>
    </r>
    <r>
      <rPr>
        <sz val="10"/>
        <color indexed="8"/>
        <rFont val="Arial"/>
        <family val="2"/>
      </rPr>
      <t xml:space="preserve"> maksimum 13.  Jika diisi lebih, berarti salah isi.)</t>
    </r>
  </si>
  <si>
    <t>Pemilikan pedoman pengelolaan pelayanan/ pengabdian kepada masyarakat yang lengkap, dan  dikembangkan serta dipublikasikan oleh institusi.  Mencakup aspek: Aspek yang dicakup: (1) Arah dan fokus kegiatan PkM, (2) Jenis dan rekam jejak kegiatan PkM, (3) Pola kerja sama dengan pihak luar, dan (4) Pendanaan.</t>
  </si>
  <si>
    <t xml:space="preserve">Ada pedoman yang mencakup keempat aspek
</t>
  </si>
  <si>
    <t>Ada pedoman yang mencakup tiga dari empat aspek</t>
  </si>
  <si>
    <t>Ada pedoman yang mencakup satu atau dua dari empat aspek</t>
  </si>
  <si>
    <t>Pimpinan Perguruan Tinggi</t>
  </si>
  <si>
    <t>Skor mekanisme kontrol pencapaian (1 - 4)</t>
  </si>
  <si>
    <t>Tidak ada dokumen</t>
  </si>
  <si>
    <r>
      <t>Rasio = N</t>
    </r>
    <r>
      <rPr>
        <vertAlign val="subscript"/>
        <sz val="10"/>
        <color rgb="FF000000"/>
        <rFont val="Arial"/>
        <family val="2"/>
      </rPr>
      <t>B</t>
    </r>
    <r>
      <rPr>
        <vertAlign val="subscript"/>
        <sz val="10"/>
        <color indexed="8"/>
        <rFont val="Arial"/>
        <family val="2"/>
      </rPr>
      <t xml:space="preserve"> </t>
    </r>
    <r>
      <rPr>
        <sz val="10"/>
        <color indexed="8"/>
        <rFont val="Arial"/>
        <family val="2"/>
      </rPr>
      <t>/</t>
    </r>
    <r>
      <rPr>
        <vertAlign val="subscript"/>
        <sz val="10"/>
        <color indexed="8"/>
        <rFont val="Arial"/>
        <family val="2"/>
      </rPr>
      <t xml:space="preserve"> </t>
    </r>
    <r>
      <rPr>
        <sz val="10"/>
        <color indexed="8"/>
        <rFont val="Arial"/>
        <family val="2"/>
      </rPr>
      <t>N</t>
    </r>
    <r>
      <rPr>
        <vertAlign val="subscript"/>
        <sz val="10"/>
        <color indexed="8"/>
        <rFont val="Arial"/>
        <family val="2"/>
      </rPr>
      <t xml:space="preserve">A   </t>
    </r>
  </si>
  <si>
    <r>
      <t>NK = Nilai kasar = (4*n</t>
    </r>
    <r>
      <rPr>
        <vertAlign val="subscript"/>
        <sz val="10"/>
        <rFont val="Arial"/>
        <family val="2"/>
      </rPr>
      <t>a</t>
    </r>
    <r>
      <rPr>
        <sz val="10"/>
        <rFont val="Arial"/>
        <family val="2"/>
      </rPr>
      <t>+2*n</t>
    </r>
    <r>
      <rPr>
        <vertAlign val="subscript"/>
        <sz val="10"/>
        <rFont val="Arial"/>
        <family val="2"/>
      </rPr>
      <t>b</t>
    </r>
    <r>
      <rPr>
        <sz val="10"/>
        <rFont val="Arial"/>
        <family val="2"/>
      </rPr>
      <t>+n</t>
    </r>
    <r>
      <rPr>
        <vertAlign val="subscript"/>
        <sz val="10"/>
        <rFont val="Arial"/>
        <family val="2"/>
      </rPr>
      <t>c</t>
    </r>
    <r>
      <rPr>
        <sz val="10"/>
        <rFont val="Arial"/>
        <family val="2"/>
      </rPr>
      <t>)/f</t>
    </r>
  </si>
  <si>
    <t>ban</t>
  </si>
  <si>
    <t xml:space="preserve">Pelaksanaan kode etik sangat lengkap, meliputi:(1) lembaga tersendiri, (2) mencakup masalah akademik (termasuk penelitian dan karya ilmiah), dan non-akademik, (3) SOP sangat lengkap dan jelas, (4) SOP dilaksanakan secara efektif.
</t>
  </si>
  <si>
    <t xml:space="preserve">Pelaksanaan kode etik, meliputi: (1) komisi ad hoc, (2) mencakup masalah akademik (termasuk penelitian dan karya ilmiah), dan non-akademik, (3) SOP lengkap dan jelas, (4) SOP dilaksanakan secara efektif
</t>
  </si>
  <si>
    <t xml:space="preserve">Pelaksanaan kode etik, meliputi: (1) komisi ad hoc, (2) hanya mencakup masalah akademik (termasuk penelitian dan karya ilmiah), (3) SOP cukup lengkap dan jelas, (4) SOP dilaksanakan kurang efektif.
</t>
  </si>
  <si>
    <t>Pada hari …………… tanggal ……………..   telah dilaksanakan asesmen lapangan, untuk akreditasi Program Studi ………….., Jurusan ………………, Fakultas ………,  Universitas/Institut/Sekolah Tinggi/Politeknik/Akademi *)………………………………..</t>
  </si>
  <si>
    <t>Jakarta, ………………………</t>
  </si>
  <si>
    <t>Asr6</t>
  </si>
  <si>
    <r>
      <t>Jumlah mahasiswa lulus seleksi (</t>
    </r>
    <r>
      <rPr>
        <sz val="10"/>
        <color theme="1"/>
        <rFont val="Arial"/>
        <family val="2"/>
      </rPr>
      <t>Kolom 4</t>
    </r>
    <r>
      <rPr>
        <sz val="10"/>
        <color indexed="8"/>
        <rFont val="Arial"/>
        <family val="2"/>
      </rPr>
      <t>)</t>
    </r>
  </si>
  <si>
    <r>
      <t>Nilai kasar = (N</t>
    </r>
    <r>
      <rPr>
        <vertAlign val="subscript"/>
        <sz val="10"/>
        <rFont val="Arial"/>
        <family val="2"/>
      </rPr>
      <t>A</t>
    </r>
    <r>
      <rPr>
        <sz val="10"/>
        <rFont val="Arial"/>
        <family val="2"/>
      </rPr>
      <t>/f)*100</t>
    </r>
  </si>
  <si>
    <t>Rasio jumlah mahasiswa yang ikut seleksi terhadap jumlah mahasiswa yang lulus seleksi.</t>
  </si>
  <si>
    <t>ghgj</t>
  </si>
  <si>
    <t>TS</t>
  </si>
  <si>
    <t>TS-1</t>
  </si>
  <si>
    <t>TS-2</t>
  </si>
  <si>
    <t>Rata-rata masa studi lulusan D1</t>
  </si>
  <si>
    <t>Rata-rata IPK lulusan D1</t>
  </si>
  <si>
    <t>Rata-rata masa studi lulusan D2</t>
  </si>
  <si>
    <t>Rata-rata IPK lulusan D2</t>
  </si>
  <si>
    <t>Rata-rata masa studi lulusan D3</t>
  </si>
  <si>
    <t>Rata-rata IPK lulusan D3</t>
  </si>
  <si>
    <t>test</t>
  </si>
  <si>
    <t>AAAA</t>
  </si>
  <si>
    <t>rrrrr</t>
  </si>
  <si>
    <t>Jumlah mahasiswa pada TS = NMR + NMT  (Lihat Tabel 3.1.5)</t>
  </si>
  <si>
    <t xml:space="preserve">Tidak memiliki: (1) rancangan dan analisis jabatan, (2) uraian tugas, (3) prosedur kerja, (4) program peningkatan kompetensi manajerial yang sistematis untuk pengelola unit kerja.
</t>
  </si>
  <si>
    <t>a</t>
  </si>
  <si>
    <t>npt</t>
  </si>
  <si>
    <t>Berdasarkan hasil asesmen lapangan, penilaian untuk setiap butir, dasar penilaian, memberikan rekomendasi pembinaan institusi perguruan tinggi tersebut di atas sebagai berikut.</t>
  </si>
  <si>
    <t>Memiliki kriteria dan instrumen penilaian, menggunakannya untuk mengukur kinerja setiap unit, dan hasil pengukurannya digunakan serta didiseminasikan dengan baik.</t>
  </si>
  <si>
    <t>Banyaknya alumni lima tahun terakhir yang memberikan respon</t>
  </si>
  <si>
    <t>Banyaknya alumni dalam lima tahun terakhir</t>
  </si>
  <si>
    <t>sss</t>
  </si>
  <si>
    <t xml:space="preserve">REKAPITULASI HASIL PENILAIAN ASESMEN KECUKUPAN ASESOR </t>
  </si>
  <si>
    <t>TOTAL SKOR TERBOBOT ASESMEN KECUKUPAN</t>
  </si>
  <si>
    <t>Perguruan Tinggi   :</t>
  </si>
  <si>
    <t xml:space="preserve">PANEL                     :              </t>
  </si>
  <si>
    <t>TANGGAL               :</t>
  </si>
  <si>
    <t>No</t>
  </si>
  <si>
    <t>Total Standar Terbobot</t>
  </si>
  <si>
    <t>Standar. 1</t>
  </si>
  <si>
    <t>Visi, Misi, Tujuan Dan Sasaran, Serta Strategi Pencapaian</t>
  </si>
  <si>
    <t>Standar. 2</t>
  </si>
  <si>
    <t>Tata Pamong, Kepemimpinan, Sistem Pengelolaan, Dan Penjaminan Mutu</t>
  </si>
  <si>
    <t/>
  </si>
  <si>
    <t>Standar. 3</t>
  </si>
  <si>
    <t>Mahasiswa Dan Lulusan</t>
  </si>
  <si>
    <t>Standar. 4</t>
  </si>
  <si>
    <t>Sumber Daya Manusia</t>
  </si>
  <si>
    <t>Standar. 5</t>
  </si>
  <si>
    <t>Kurikulum, Pembelajaran, Dan Suasana Akademik</t>
  </si>
  <si>
    <t>Standar. 6</t>
  </si>
  <si>
    <t>Pembiayaan, Sarana Dan Prasarana, Serta Sistem Informasi</t>
  </si>
  <si>
    <t>Standar. 7</t>
  </si>
  <si>
    <t>Penelitian, Pelayanan/Pengabdian Kepada Masyarakat, Dan Kerjasama</t>
  </si>
  <si>
    <t>TOTAL</t>
  </si>
  <si>
    <t>Borang Evaluasi Diri</t>
  </si>
  <si>
    <t>Akurasi Dan Kelengkapan Data Serta Informasi Yang Digunakan Untuk Menyusun Laporan Evaluasi-Diri</t>
  </si>
  <si>
    <t>Kualitas Analisis Yang Digunakan Untuk Mengidentifikasi Dan Merumuskan Masalah Pada Semua Komponen Evaluasi-Diri.</t>
  </si>
  <si>
    <t>Strategi Pengembangan Dan Perbaikan Program</t>
  </si>
  <si>
    <t>Keterpaduan Dan Keterkaitan Antar Komponen Evaluasi-Diri</t>
  </si>
  <si>
    <t>Total</t>
  </si>
  <si>
    <t>Nilai Asesmen Kecukupan</t>
  </si>
  <si>
    <t>No. Hp</t>
  </si>
  <si>
    <t>Email</t>
  </si>
  <si>
    <t>Keputusan :</t>
  </si>
  <si>
    <t>BAN-PT,</t>
  </si>
  <si>
    <t>Lolos Visit</t>
  </si>
  <si>
    <t>Piket</t>
  </si>
  <si>
    <t>Tidak Lolos Visit</t>
  </si>
  <si>
    <t>Jakarta, 16 - 18 April 2015</t>
  </si>
  <si>
    <t>Borang Institusi</t>
  </si>
  <si>
    <t>16-18 April 2015</t>
  </si>
</sst>
</file>

<file path=xl/styles.xml><?xml version="1.0" encoding="utf-8"?>
<styleSheet xmlns="http://schemas.openxmlformats.org/spreadsheetml/2006/main">
  <numFmts count="1">
    <numFmt numFmtId="164" formatCode="0.000"/>
  </numFmts>
  <fonts count="75">
    <font>
      <sz val="11"/>
      <color theme="1"/>
      <name val="Calibri"/>
      <family val="2"/>
      <scheme val="minor"/>
    </font>
    <font>
      <b/>
      <u/>
      <sz val="12"/>
      <color indexed="8"/>
      <name val="Arial"/>
      <family val="2"/>
    </font>
    <font>
      <sz val="10"/>
      <color indexed="8"/>
      <name val="Arial"/>
      <family val="2"/>
    </font>
    <font>
      <i/>
      <sz val="10"/>
      <color indexed="8"/>
      <name val="Arial"/>
      <family val="2"/>
    </font>
    <font>
      <sz val="12"/>
      <color indexed="8"/>
      <name val="Arial"/>
      <family val="2"/>
    </font>
    <font>
      <sz val="12"/>
      <color indexed="8"/>
      <name val="Arial"/>
      <family val="2"/>
    </font>
    <font>
      <sz val="10"/>
      <color indexed="8"/>
      <name val="Arial"/>
      <family val="2"/>
    </font>
    <font>
      <b/>
      <sz val="11"/>
      <color indexed="8"/>
      <name val="Arial"/>
      <family val="2"/>
    </font>
    <font>
      <b/>
      <sz val="12"/>
      <color indexed="8"/>
      <name val="Arial"/>
      <family val="2"/>
    </font>
    <font>
      <b/>
      <sz val="10"/>
      <color indexed="8"/>
      <name val="Arial"/>
      <family val="2"/>
    </font>
    <font>
      <b/>
      <sz val="12"/>
      <color indexed="8"/>
      <name val="Arial"/>
      <family val="2"/>
    </font>
    <font>
      <sz val="10"/>
      <color indexed="8"/>
      <name val="Arial"/>
      <family val="2"/>
    </font>
    <font>
      <sz val="11"/>
      <color indexed="8"/>
      <name val="Calibri"/>
      <family val="2"/>
    </font>
    <font>
      <sz val="11"/>
      <color indexed="8"/>
      <name val="Arial"/>
      <family val="2"/>
    </font>
    <font>
      <b/>
      <sz val="12"/>
      <color indexed="8"/>
      <name val="Calibri"/>
      <family val="2"/>
    </font>
    <font>
      <b/>
      <sz val="11"/>
      <color indexed="8"/>
      <name val="Calibri"/>
      <family val="2"/>
    </font>
    <font>
      <b/>
      <sz val="14"/>
      <color indexed="8"/>
      <name val="Calibri"/>
      <family val="2"/>
    </font>
    <font>
      <sz val="11"/>
      <color indexed="8"/>
      <name val="Arial"/>
      <family val="2"/>
    </font>
    <font>
      <sz val="14"/>
      <color indexed="8"/>
      <name val="Calibri"/>
      <family val="2"/>
    </font>
    <font>
      <sz val="11"/>
      <color indexed="10"/>
      <name val="Calibri"/>
      <family val="2"/>
    </font>
    <font>
      <u/>
      <sz val="14"/>
      <color indexed="8"/>
      <name val="Calibri"/>
      <family val="2"/>
    </font>
    <font>
      <b/>
      <sz val="16"/>
      <color indexed="8"/>
      <name val="Arial"/>
      <family val="2"/>
    </font>
    <font>
      <sz val="16"/>
      <color indexed="8"/>
      <name val="Calibri"/>
      <family val="2"/>
    </font>
    <font>
      <sz val="16"/>
      <color indexed="8"/>
      <name val="Arial"/>
      <family val="2"/>
    </font>
    <font>
      <u/>
      <sz val="12"/>
      <color indexed="8"/>
      <name val="Arial"/>
      <family val="2"/>
    </font>
    <font>
      <b/>
      <sz val="9"/>
      <color indexed="8"/>
      <name val="Arial"/>
      <family val="2"/>
    </font>
    <font>
      <sz val="10"/>
      <color indexed="8"/>
      <name val="Arial"/>
      <family val="2"/>
    </font>
    <font>
      <u/>
      <sz val="11"/>
      <color indexed="8"/>
      <name val="Calibri"/>
      <family val="2"/>
    </font>
    <font>
      <b/>
      <sz val="10"/>
      <color indexed="10"/>
      <name val="Arial"/>
      <family val="2"/>
    </font>
    <font>
      <sz val="11"/>
      <name val="Calibri"/>
      <family val="2"/>
    </font>
    <font>
      <sz val="12"/>
      <color indexed="8"/>
      <name val="Calibri"/>
      <family val="2"/>
    </font>
    <font>
      <sz val="11"/>
      <color indexed="8"/>
      <name val="Calibri"/>
      <family val="2"/>
    </font>
    <font>
      <sz val="10"/>
      <name val="Arial"/>
      <family val="2"/>
    </font>
    <font>
      <u/>
      <sz val="10"/>
      <color indexed="8"/>
      <name val="Arial"/>
      <family val="2"/>
    </font>
    <font>
      <sz val="10"/>
      <color indexed="56"/>
      <name val="Arial"/>
      <family val="2"/>
    </font>
    <font>
      <sz val="8"/>
      <name val="Calibri"/>
      <family val="2"/>
    </font>
    <font>
      <b/>
      <sz val="14"/>
      <color indexed="9"/>
      <name val="Calibri"/>
      <family val="2"/>
    </font>
    <font>
      <b/>
      <sz val="26"/>
      <color indexed="9"/>
      <name val="Calibri"/>
      <family val="2"/>
    </font>
    <font>
      <b/>
      <sz val="10"/>
      <name val="Arial"/>
      <family val="2"/>
    </font>
    <font>
      <vertAlign val="subscript"/>
      <sz val="10"/>
      <color indexed="8"/>
      <name val="Arial"/>
      <family val="2"/>
    </font>
    <font>
      <sz val="10"/>
      <color indexed="8"/>
      <name val="Calibri"/>
      <family val="2"/>
    </font>
    <font>
      <sz val="11"/>
      <color theme="1"/>
      <name val="Calibri"/>
      <family val="2"/>
      <scheme val="minor"/>
    </font>
    <font>
      <b/>
      <sz val="11"/>
      <color theme="1"/>
      <name val="Calibri"/>
      <family val="2"/>
      <scheme val="minor"/>
    </font>
    <font>
      <sz val="11"/>
      <color indexed="8"/>
      <name val="Calibri"/>
      <family val="2"/>
      <scheme val="minor"/>
    </font>
    <font>
      <sz val="14"/>
      <color theme="0"/>
      <name val="Calibri"/>
      <family val="2"/>
      <scheme val="minor"/>
    </font>
    <font>
      <sz val="11"/>
      <name val="Calibri"/>
      <family val="2"/>
      <scheme val="minor"/>
    </font>
    <font>
      <sz val="10"/>
      <color theme="1"/>
      <name val="Arial"/>
      <family val="2"/>
    </font>
    <font>
      <b/>
      <sz val="14"/>
      <color theme="0"/>
      <name val="Calibri"/>
      <family val="2"/>
      <scheme val="minor"/>
    </font>
    <font>
      <b/>
      <sz val="14"/>
      <color rgb="FF000000"/>
      <name val="Calibri"/>
      <family val="2"/>
      <scheme val="minor"/>
    </font>
    <font>
      <sz val="10"/>
      <color rgb="FF000000"/>
      <name val="Arial"/>
      <family val="2"/>
    </font>
    <font>
      <sz val="11"/>
      <color rgb="FF000000"/>
      <name val="Calibri"/>
      <family val="2"/>
      <scheme val="minor"/>
    </font>
    <font>
      <b/>
      <sz val="18"/>
      <color theme="1"/>
      <name val="Calibri"/>
      <family val="2"/>
    </font>
    <font>
      <b/>
      <sz val="14"/>
      <color theme="1"/>
      <name val="Calibri"/>
      <family val="2"/>
    </font>
    <font>
      <b/>
      <sz val="20"/>
      <color theme="1"/>
      <name val="Calibri"/>
      <family val="2"/>
    </font>
    <font>
      <sz val="10"/>
      <color theme="1"/>
      <name val="Calibri"/>
      <family val="2"/>
      <scheme val="minor"/>
    </font>
    <font>
      <vertAlign val="subscript"/>
      <sz val="10"/>
      <name val="Arial"/>
      <family val="2"/>
    </font>
    <font>
      <i/>
      <sz val="10"/>
      <color theme="1"/>
      <name val="Arial"/>
      <family val="2"/>
    </font>
    <font>
      <sz val="12"/>
      <color theme="1"/>
      <name val="Arial"/>
      <family val="2"/>
    </font>
    <font>
      <b/>
      <sz val="10"/>
      <color theme="1"/>
      <name val="Calibri"/>
      <family val="2"/>
      <scheme val="minor"/>
    </font>
    <font>
      <sz val="11"/>
      <color theme="1"/>
      <name val="Arial"/>
      <family val="2"/>
    </font>
    <font>
      <b/>
      <sz val="11"/>
      <color indexed="8"/>
      <name val="Calibri"/>
      <family val="2"/>
      <scheme val="minor"/>
    </font>
    <font>
      <b/>
      <sz val="16"/>
      <color theme="0"/>
      <name val="Calibri"/>
      <family val="2"/>
      <scheme val="minor"/>
    </font>
    <font>
      <vertAlign val="subscript"/>
      <sz val="10"/>
      <color rgb="FF000000"/>
      <name val="Arial"/>
      <family val="2"/>
    </font>
    <font>
      <sz val="11"/>
      <color theme="0"/>
      <name val="Calibri"/>
      <family val="2"/>
      <scheme val="minor"/>
    </font>
    <font>
      <b/>
      <sz val="14"/>
      <color theme="1"/>
      <name val="Calibri"/>
      <family val="2"/>
      <scheme val="minor"/>
    </font>
    <font>
      <sz val="12"/>
      <color theme="1"/>
      <name val="Calibri"/>
      <family val="2"/>
      <scheme val="minor"/>
    </font>
    <font>
      <b/>
      <i/>
      <u/>
      <sz val="16"/>
      <color theme="1"/>
      <name val="Calibri"/>
      <family val="2"/>
      <scheme val="minor"/>
    </font>
    <font>
      <sz val="14"/>
      <color theme="1"/>
      <name val="Aharoni"/>
      <charset val="177"/>
    </font>
    <font>
      <b/>
      <sz val="12"/>
      <color theme="1"/>
      <name val="Calibri"/>
      <family val="2"/>
      <scheme val="minor"/>
    </font>
    <font>
      <b/>
      <sz val="9"/>
      <color rgb="FF000000"/>
      <name val="Arial"/>
      <family val="2"/>
    </font>
    <font>
      <b/>
      <sz val="9"/>
      <color theme="1"/>
      <name val="Calibri"/>
      <family val="2"/>
      <scheme val="minor"/>
    </font>
    <font>
      <b/>
      <i/>
      <sz val="12"/>
      <color theme="1"/>
      <name val="Calibri"/>
      <family val="2"/>
      <scheme val="minor"/>
    </font>
    <font>
      <b/>
      <sz val="12"/>
      <color theme="1"/>
      <name val="Berlin Sans FB Demi"/>
      <family val="2"/>
    </font>
    <font>
      <sz val="11"/>
      <color theme="1"/>
      <name val="Berlin Sans FB Demi"/>
      <family val="2"/>
    </font>
    <font>
      <b/>
      <sz val="16"/>
      <color theme="1"/>
      <name val="Calibri"/>
      <family val="2"/>
      <scheme val="minor"/>
    </font>
  </fonts>
  <fills count="1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21"/>
        <bgColor indexed="64"/>
      </patternFill>
    </fill>
    <fill>
      <patternFill patternType="solid">
        <fgColor indexed="2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bgColor indexed="64"/>
      </patternFill>
    </fill>
    <fill>
      <patternFill patternType="solid">
        <fgColor rgb="FFFFFF00"/>
        <bgColor indexed="64"/>
      </patternFill>
    </fill>
    <fill>
      <patternFill patternType="solid">
        <fgColor rgb="FFFF0000"/>
        <bgColor indexed="64"/>
      </patternFill>
    </fill>
    <fill>
      <patternFill patternType="solid">
        <fgColor theme="0" tint="-0.3499862666707357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9" fontId="31" fillId="0" borderId="0" applyFont="0" applyFill="0" applyBorder="0" applyAlignment="0" applyProtection="0"/>
  </cellStyleXfs>
  <cellXfs count="1124">
    <xf numFmtId="0" fontId="0" fillId="0" borderId="0" xfId="0"/>
    <xf numFmtId="0" fontId="4" fillId="0" borderId="0" xfId="0" applyFont="1" applyAlignment="1">
      <alignment horizontal="justify"/>
    </xf>
    <xf numFmtId="0" fontId="5" fillId="0" borderId="0" xfId="0" applyFont="1" applyAlignment="1">
      <alignment horizontal="justify"/>
    </xf>
    <xf numFmtId="0" fontId="0" fillId="0" borderId="0" xfId="0" applyAlignment="1">
      <alignment horizontal="center"/>
    </xf>
    <xf numFmtId="0" fontId="5" fillId="0" borderId="0" xfId="0" applyFont="1" applyAlignment="1">
      <alignment horizontal="center" vertical="top" wrapText="1"/>
    </xf>
    <xf numFmtId="0" fontId="5" fillId="0" borderId="0" xfId="0" applyFont="1" applyAlignment="1">
      <alignment horizontal="center"/>
    </xf>
    <xf numFmtId="0" fontId="0" fillId="0" borderId="0" xfId="0" applyAlignment="1">
      <alignment wrapText="1"/>
    </xf>
    <xf numFmtId="0" fontId="0" fillId="0" borderId="0" xfId="0" applyAlignment="1">
      <alignment horizontal="center" vertical="center"/>
    </xf>
    <xf numFmtId="0" fontId="5" fillId="0" borderId="0" xfId="0" applyFont="1" applyBorder="1" applyAlignment="1">
      <alignment vertical="top" wrapText="1"/>
    </xf>
    <xf numFmtId="0" fontId="0" fillId="0" borderId="0" xfId="0" applyBorder="1" applyAlignment="1">
      <alignment horizontal="center"/>
    </xf>
    <xf numFmtId="0" fontId="0" fillId="0" borderId="0" xfId="0" applyBorder="1"/>
    <xf numFmtId="0" fontId="6" fillId="0" borderId="0" xfId="0" applyFont="1" applyBorder="1" applyAlignment="1">
      <alignment horizontal="center" vertical="top" wrapText="1"/>
    </xf>
    <xf numFmtId="0" fontId="0" fillId="0" borderId="0" xfId="0" applyAlignment="1"/>
    <xf numFmtId="0" fontId="5" fillId="0" borderId="0" xfId="0" applyFont="1" applyAlignment="1">
      <alignment vertical="top" wrapText="1"/>
    </xf>
    <xf numFmtId="0" fontId="5" fillId="0" borderId="0" xfId="0" applyFont="1" applyAlignment="1">
      <alignment horizontal="left"/>
    </xf>
    <xf numFmtId="0" fontId="4" fillId="0" borderId="0" xfId="0" applyFont="1" applyAlignment="1">
      <alignment horizontal="center"/>
    </xf>
    <xf numFmtId="0" fontId="5" fillId="0" borderId="0" xfId="0" applyFont="1" applyBorder="1" applyAlignment="1">
      <alignment horizontal="center" vertical="top" wrapText="1"/>
    </xf>
    <xf numFmtId="0" fontId="5" fillId="0" borderId="0" xfId="0" applyFont="1" applyBorder="1" applyAlignment="1">
      <alignment horizontal="center" vertical="center" wrapText="1"/>
    </xf>
    <xf numFmtId="0" fontId="0" fillId="0" borderId="0" xfId="0" applyAlignment="1">
      <alignment horizontal="left" vertical="center"/>
    </xf>
    <xf numFmtId="0" fontId="6"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xf numFmtId="0" fontId="12" fillId="0" borderId="0" xfId="0" applyFont="1" applyAlignment="1">
      <alignment horizontal="justify"/>
    </xf>
    <xf numFmtId="0" fontId="11" fillId="0" borderId="1" xfId="0" applyFont="1" applyBorder="1" applyAlignment="1">
      <alignment horizontal="left" vertical="top" wrapText="1"/>
    </xf>
    <xf numFmtId="0" fontId="13" fillId="0" borderId="0" xfId="0" applyFont="1" applyAlignment="1">
      <alignment horizontal="left" indent="11"/>
    </xf>
    <xf numFmtId="0" fontId="13" fillId="0" borderId="0" xfId="0" applyFont="1" applyAlignment="1">
      <alignment horizontal="left"/>
    </xf>
    <xf numFmtId="0" fontId="14" fillId="0" borderId="0" xfId="0" applyFont="1" applyAlignment="1">
      <alignment horizontal="center"/>
    </xf>
    <xf numFmtId="0" fontId="5" fillId="0" borderId="0" xfId="0" applyFont="1" applyAlignment="1">
      <alignment vertical="center" wrapText="1"/>
    </xf>
    <xf numFmtId="0" fontId="10" fillId="0" borderId="0" xfId="0" applyFont="1" applyAlignment="1"/>
    <xf numFmtId="0" fontId="9" fillId="0" borderId="0" xfId="0" applyFont="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xf numFmtId="0" fontId="15" fillId="0" borderId="1" xfId="0" applyFont="1" applyBorder="1" applyAlignment="1">
      <alignment horizontal="center"/>
    </xf>
    <xf numFmtId="0" fontId="0" fillId="0" borderId="1" xfId="0" applyFill="1" applyBorder="1" applyAlignment="1">
      <alignment horizontal="center"/>
    </xf>
    <xf numFmtId="0" fontId="5" fillId="0" borderId="0" xfId="0" applyFont="1" applyAlignment="1">
      <alignment horizontal="left" vertical="top" wrapText="1"/>
    </xf>
    <xf numFmtId="0" fontId="4" fillId="0" borderId="0" xfId="0" applyFont="1"/>
    <xf numFmtId="0" fontId="5" fillId="0" borderId="0" xfId="0" applyFont="1" applyAlignment="1"/>
    <xf numFmtId="0" fontId="17" fillId="0" borderId="0" xfId="0" applyFont="1" applyAlignment="1">
      <alignment horizontal="left"/>
    </xf>
    <xf numFmtId="0" fontId="0" fillId="0" borderId="0" xfId="0" applyFill="1" applyBorder="1" applyAlignment="1">
      <alignment horizontal="center"/>
    </xf>
    <xf numFmtId="0" fontId="18" fillId="0" borderId="0" xfId="0" applyFont="1" applyBorder="1"/>
    <xf numFmtId="0" fontId="15" fillId="0" borderId="0" xfId="0" applyFont="1" applyBorder="1"/>
    <xf numFmtId="2" fontId="0" fillId="0" borderId="1" xfId="0" applyNumberFormat="1" applyBorder="1" applyAlignment="1">
      <alignment horizontal="center" vertical="center"/>
    </xf>
    <xf numFmtId="2" fontId="0" fillId="0" borderId="0" xfId="0" applyNumberFormat="1" applyAlignment="1">
      <alignment horizontal="center"/>
    </xf>
    <xf numFmtId="2" fontId="0" fillId="0" borderId="1" xfId="0" applyNumberFormat="1" applyBorder="1" applyAlignment="1">
      <alignment horizontal="center"/>
    </xf>
    <xf numFmtId="2" fontId="15" fillId="0" borderId="1" xfId="0" applyNumberFormat="1" applyFont="1" applyBorder="1" applyAlignment="1">
      <alignment horizontal="center" vertical="center"/>
    </xf>
    <xf numFmtId="2" fontId="15" fillId="0" borderId="1" xfId="0" applyNumberFormat="1" applyFont="1" applyBorder="1" applyAlignment="1">
      <alignment horizontal="center"/>
    </xf>
    <xf numFmtId="2" fontId="0" fillId="0" borderId="1" xfId="0" applyNumberFormat="1" applyBorder="1"/>
    <xf numFmtId="2" fontId="15" fillId="0" borderId="1" xfId="0" applyNumberFormat="1" applyFont="1" applyBorder="1"/>
    <xf numFmtId="0" fontId="0" fillId="0" borderId="0" xfId="0" applyProtection="1"/>
    <xf numFmtId="0" fontId="0" fillId="0" borderId="0" xfId="0" applyBorder="1" applyProtection="1"/>
    <xf numFmtId="0" fontId="0" fillId="0" borderId="0" xfId="0" applyAlignment="1" applyProtection="1">
      <alignment horizontal="center"/>
    </xf>
    <xf numFmtId="0" fontId="20" fillId="0" borderId="0" xfId="0" applyFont="1" applyAlignment="1" applyProtection="1">
      <alignment horizontal="center"/>
    </xf>
    <xf numFmtId="0" fontId="0" fillId="0" borderId="0" xfId="0" applyFill="1" applyBorder="1" applyProtection="1"/>
    <xf numFmtId="0" fontId="0" fillId="0" borderId="0" xfId="0" applyAlignment="1" applyProtection="1">
      <alignment wrapText="1"/>
    </xf>
    <xf numFmtId="0" fontId="0" fillId="0" borderId="0" xfId="0" applyFill="1" applyProtection="1"/>
    <xf numFmtId="0" fontId="22" fillId="0" borderId="0" xfId="0" applyFont="1" applyAlignment="1" applyProtection="1">
      <alignment horizontal="center"/>
      <protection locked="0"/>
    </xf>
    <xf numFmtId="0" fontId="22" fillId="0" borderId="0" xfId="0" applyFont="1" applyAlignment="1" applyProtection="1">
      <protection locked="0"/>
    </xf>
    <xf numFmtId="0" fontId="22" fillId="0" borderId="0" xfId="0" applyFont="1" applyProtection="1">
      <protection locked="0"/>
    </xf>
    <xf numFmtId="0" fontId="22" fillId="0" borderId="0" xfId="0" applyFont="1" applyAlignment="1" applyProtection="1">
      <alignment horizontal="center" vertical="center"/>
      <protection locked="0"/>
    </xf>
    <xf numFmtId="0" fontId="0" fillId="0" borderId="0" xfId="0" applyProtection="1">
      <protection locked="0"/>
    </xf>
    <xf numFmtId="0" fontId="23" fillId="0" borderId="0" xfId="0" applyFont="1" applyAlignment="1" applyProtection="1">
      <alignment horizontal="center"/>
      <protection locked="0"/>
    </xf>
    <xf numFmtId="0" fontId="24"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0" xfId="0" applyFont="1" applyAlignment="1" applyProtection="1">
      <alignment horizontal="center" vertical="top" wrapText="1"/>
      <protection locked="0"/>
    </xf>
    <xf numFmtId="0" fontId="25" fillId="0" borderId="1" xfId="0" applyFont="1" applyFill="1" applyBorder="1" applyAlignment="1" applyProtection="1">
      <alignment horizontal="center" vertical="center" wrapText="1"/>
    </xf>
    <xf numFmtId="2" fontId="0" fillId="0" borderId="1" xfId="0" applyNumberFormat="1" applyBorder="1" applyAlignment="1" applyProtection="1">
      <alignment horizontal="center" vertical="center"/>
    </xf>
    <xf numFmtId="0" fontId="4" fillId="0" borderId="0" xfId="0" applyFont="1" applyAlignment="1" applyProtection="1">
      <alignment horizontal="center"/>
      <protection locked="0"/>
    </xf>
    <xf numFmtId="0" fontId="5" fillId="0" borderId="0" xfId="0" applyFont="1" applyBorder="1" applyAlignment="1" applyProtection="1">
      <alignment horizontal="center" vertical="center" wrapText="1"/>
      <protection locked="0"/>
    </xf>
    <xf numFmtId="0" fontId="5" fillId="0" borderId="0" xfId="0" applyFont="1" applyAlignment="1" applyProtection="1">
      <alignment horizontal="left" wrapText="1"/>
      <protection locked="0"/>
    </xf>
    <xf numFmtId="0" fontId="0" fillId="0" borderId="0" xfId="0" applyBorder="1" applyProtection="1">
      <protection locked="0"/>
    </xf>
    <xf numFmtId="0" fontId="0" fillId="0" borderId="1" xfId="0" applyBorder="1" applyAlignment="1" applyProtection="1">
      <alignment horizontal="center" vertical="top" wrapText="1"/>
    </xf>
    <xf numFmtId="0" fontId="0" fillId="0" borderId="0" xfId="0" applyAlignment="1" applyProtection="1">
      <alignment horizontal="center" vertical="center"/>
    </xf>
    <xf numFmtId="0" fontId="6" fillId="0" borderId="0" xfId="0" applyFont="1"/>
    <xf numFmtId="0" fontId="0" fillId="2" borderId="5" xfId="0" applyFill="1" applyBorder="1" applyAlignment="1" applyProtection="1">
      <alignment horizontal="center" vertical="center"/>
      <protection locked="0"/>
    </xf>
    <xf numFmtId="0" fontId="6" fillId="0" borderId="0" xfId="0" applyFont="1" applyAlignment="1" applyProtection="1">
      <alignment horizontal="left" vertical="top"/>
    </xf>
    <xf numFmtId="0" fontId="6" fillId="0" borderId="0" xfId="0" applyFont="1" applyAlignment="1">
      <alignment horizontal="left" vertical="top"/>
    </xf>
    <xf numFmtId="0" fontId="0" fillId="0" borderId="5" xfId="0" applyBorder="1" applyProtection="1"/>
    <xf numFmtId="0" fontId="0" fillId="0" borderId="5" xfId="0" applyBorder="1" applyAlignment="1" applyProtection="1">
      <alignment horizontal="center" vertical="center"/>
    </xf>
    <xf numFmtId="0" fontId="0" fillId="2" borderId="7" xfId="0" applyFill="1" applyBorder="1" applyAlignment="1" applyProtection="1">
      <alignment horizontal="center" vertical="center"/>
      <protection locked="0"/>
    </xf>
    <xf numFmtId="0" fontId="6" fillId="0" borderId="0" xfId="0" applyFont="1" applyFill="1" applyBorder="1" applyAlignment="1" applyProtection="1">
      <alignment horizontal="left" vertical="top"/>
    </xf>
    <xf numFmtId="0" fontId="0" fillId="0" borderId="5" xfId="0" applyBorder="1"/>
    <xf numFmtId="0" fontId="6" fillId="0" borderId="0" xfId="0" applyFont="1" applyAlignment="1" applyProtection="1">
      <alignment horizontal="left"/>
    </xf>
    <xf numFmtId="0" fontId="6" fillId="0" borderId="0" xfId="0" applyFont="1" applyFill="1" applyBorder="1" applyAlignment="1" applyProtection="1">
      <alignment horizontal="left"/>
    </xf>
    <xf numFmtId="0" fontId="6" fillId="0" borderId="4" xfId="0" applyFont="1" applyBorder="1" applyAlignment="1" applyProtection="1">
      <alignment horizontal="center" vertical="center"/>
    </xf>
    <xf numFmtId="0" fontId="6" fillId="0" borderId="0" xfId="0" applyFont="1" applyProtection="1"/>
    <xf numFmtId="0" fontId="28" fillId="0" borderId="0" xfId="0" applyFont="1" applyProtection="1"/>
    <xf numFmtId="0" fontId="6" fillId="0" borderId="10" xfId="0" applyFont="1" applyBorder="1" applyProtection="1"/>
    <xf numFmtId="0" fontId="6" fillId="0" borderId="9" xfId="0" applyFont="1" applyBorder="1" applyProtection="1"/>
    <xf numFmtId="0" fontId="6" fillId="0" borderId="10" xfId="0" applyFont="1" applyBorder="1" applyAlignment="1" applyProtection="1"/>
    <xf numFmtId="0" fontId="6" fillId="0" borderId="9" xfId="0" applyFont="1" applyBorder="1" applyAlignment="1" applyProtection="1"/>
    <xf numFmtId="0" fontId="6" fillId="0" borderId="10" xfId="0" applyFont="1" applyFill="1" applyBorder="1" applyProtection="1"/>
    <xf numFmtId="0" fontId="5" fillId="0" borderId="0" xfId="0" applyFont="1" applyAlignment="1" applyProtection="1">
      <alignment horizontal="justify"/>
      <protection locked="0"/>
    </xf>
    <xf numFmtId="0" fontId="4" fillId="0" borderId="0" xfId="0" applyFont="1" applyAlignment="1"/>
    <xf numFmtId="0" fontId="5" fillId="0" borderId="0" xfId="0" applyFont="1" applyAlignment="1">
      <alignment horizontal="left" wrapText="1"/>
    </xf>
    <xf numFmtId="0" fontId="4" fillId="0" borderId="0" xfId="0" applyFont="1" applyAlignment="1">
      <alignment horizontal="left" vertical="center"/>
    </xf>
    <xf numFmtId="0" fontId="17" fillId="0" borderId="0" xfId="0" applyFont="1" applyAlignment="1">
      <alignment horizontal="justify"/>
    </xf>
    <xf numFmtId="0" fontId="0" fillId="0" borderId="0" xfId="0" applyAlignment="1">
      <alignment horizontal="left" vertical="top"/>
    </xf>
    <xf numFmtId="0" fontId="6" fillId="0" borderId="1" xfId="0" applyFont="1" applyBorder="1" applyAlignment="1">
      <alignment horizontal="center" vertical="top" wrapText="1"/>
    </xf>
    <xf numFmtId="0" fontId="6" fillId="0" borderId="3" xfId="0" applyFont="1" applyBorder="1" applyAlignment="1">
      <alignment horizontal="center" vertical="top" wrapText="1"/>
    </xf>
    <xf numFmtId="0" fontId="11" fillId="0" borderId="3" xfId="0" applyFont="1" applyBorder="1" applyAlignment="1">
      <alignment horizontal="left" vertical="top"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4" xfId="0" applyFont="1" applyBorder="1" applyAlignment="1">
      <alignment horizontal="center" vertical="top" wrapText="1"/>
    </xf>
    <xf numFmtId="0" fontId="5" fillId="0" borderId="0" xfId="0" applyFont="1" applyAlignment="1">
      <alignment vertical="center"/>
    </xf>
    <xf numFmtId="0" fontId="0" fillId="0" borderId="0" xfId="0" applyAlignment="1">
      <alignment vertical="top"/>
    </xf>
    <xf numFmtId="0" fontId="11" fillId="0" borderId="17" xfId="0" applyFont="1" applyBorder="1" applyAlignment="1">
      <alignment horizontal="center" vertical="top" wrapText="1"/>
    </xf>
    <xf numFmtId="0" fontId="8" fillId="0" borderId="4" xfId="0" applyFont="1" applyBorder="1" applyAlignment="1">
      <alignment horizontal="center" vertical="top" wrapText="1"/>
    </xf>
    <xf numFmtId="0" fontId="5" fillId="0" borderId="0" xfId="0" applyFont="1" applyAlignment="1">
      <alignment horizontal="left" vertical="top"/>
    </xf>
    <xf numFmtId="0" fontId="12" fillId="0" borderId="19" xfId="0" applyFont="1" applyBorder="1" applyAlignment="1">
      <alignment vertical="top" wrapText="1"/>
    </xf>
    <xf numFmtId="0" fontId="12" fillId="0" borderId="0" xfId="0" applyFont="1" applyAlignment="1">
      <alignment wrapText="1"/>
    </xf>
    <xf numFmtId="0" fontId="12" fillId="0" borderId="0" xfId="0" applyFont="1" applyBorder="1" applyAlignment="1">
      <alignment vertical="top" wrapText="1"/>
    </xf>
    <xf numFmtId="0" fontId="17" fillId="0" borderId="0" xfId="0" applyFont="1" applyAlignment="1"/>
    <xf numFmtId="0" fontId="13" fillId="0" borderId="0" xfId="0" applyFont="1" applyAlignment="1"/>
    <xf numFmtId="0" fontId="5" fillId="0" borderId="0" xfId="0" applyFont="1" applyAlignment="1" applyProtection="1">
      <protection locked="0"/>
    </xf>
    <xf numFmtId="0" fontId="11" fillId="0" borderId="1"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7" fillId="0" borderId="15" xfId="0" applyFont="1" applyBorder="1" applyAlignment="1" applyProtection="1">
      <alignment horizontal="center" vertical="center" wrapText="1"/>
    </xf>
    <xf numFmtId="0" fontId="6" fillId="0" borderId="0" xfId="0" applyFont="1" applyBorder="1" applyAlignment="1" applyProtection="1">
      <alignment horizontal="center" vertical="top" wrapText="1"/>
      <protection locked="0"/>
    </xf>
    <xf numFmtId="0" fontId="6" fillId="0" borderId="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9" fillId="0" borderId="0" xfId="0" applyFont="1" applyBorder="1" applyAlignment="1" applyProtection="1">
      <alignment horizontal="center" vertical="center" wrapText="1"/>
    </xf>
    <xf numFmtId="2" fontId="5" fillId="0" borderId="0" xfId="0" applyNumberFormat="1" applyFont="1" applyFill="1" applyBorder="1" applyAlignment="1" applyProtection="1">
      <alignment horizontal="center" vertical="center" wrapText="1"/>
      <protection locked="0"/>
    </xf>
    <xf numFmtId="2" fontId="0" fillId="0" borderId="0" xfId="0" applyNumberFormat="1" applyBorder="1" applyAlignment="1" applyProtection="1">
      <alignment horizontal="center" vertical="center"/>
    </xf>
    <xf numFmtId="0" fontId="0" fillId="0" borderId="5" xfId="0" applyFill="1" applyBorder="1" applyAlignment="1" applyProtection="1">
      <alignment horizontal="center" vertical="center"/>
    </xf>
    <xf numFmtId="0" fontId="6" fillId="0" borderId="0" xfId="0" applyFont="1" applyBorder="1" applyAlignment="1" applyProtection="1">
      <alignment horizontal="left"/>
    </xf>
    <xf numFmtId="0" fontId="0" fillId="0" borderId="0" xfId="0" applyFill="1" applyBorder="1" applyAlignment="1" applyProtection="1">
      <alignment horizontal="center" vertical="center"/>
    </xf>
    <xf numFmtId="0" fontId="32" fillId="0" borderId="0" xfId="0" applyFont="1" applyBorder="1" applyAlignment="1">
      <alignment horizontal="center" vertical="top" wrapText="1"/>
    </xf>
    <xf numFmtId="0" fontId="32" fillId="0" borderId="0"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pplyProtection="1"/>
    <xf numFmtId="0" fontId="6" fillId="0" borderId="0" xfId="0" applyFont="1" applyBorder="1" applyProtection="1"/>
    <xf numFmtId="0" fontId="0" fillId="0" borderId="0" xfId="0" applyFont="1" applyAlignment="1" applyProtection="1">
      <alignment horizontal="center" vertical="top"/>
    </xf>
    <xf numFmtId="0" fontId="27" fillId="0" borderId="0" xfId="0" applyFont="1" applyAlignment="1" applyProtection="1">
      <alignment horizontal="center" vertical="top"/>
    </xf>
    <xf numFmtId="0" fontId="0" fillId="0" borderId="0" xfId="0" applyAlignment="1" applyProtection="1">
      <alignment horizontal="center" vertical="top"/>
    </xf>
    <xf numFmtId="0" fontId="0" fillId="0" borderId="0" xfId="0" applyAlignment="1">
      <alignment horizontal="center" vertical="top"/>
    </xf>
    <xf numFmtId="0" fontId="0" fillId="0" borderId="0" xfId="0" applyFill="1"/>
    <xf numFmtId="0" fontId="0" fillId="0" borderId="5" xfId="0" applyFill="1" applyBorder="1"/>
    <xf numFmtId="0" fontId="0" fillId="0" borderId="4" xfId="0" applyBorder="1" applyAlignment="1">
      <alignment horizontal="center" vertical="center"/>
    </xf>
    <xf numFmtId="0" fontId="28" fillId="0" borderId="0" xfId="0" applyFont="1" applyFill="1" applyBorder="1" applyProtection="1"/>
    <xf numFmtId="0" fontId="41" fillId="2" borderId="7" xfId="1" applyNumberFormat="1" applyFont="1" applyFill="1" applyBorder="1" applyAlignment="1" applyProtection="1">
      <alignment horizontal="center" vertical="center"/>
      <protection locked="0"/>
    </xf>
    <xf numFmtId="0" fontId="6" fillId="0" borderId="0" xfId="0" applyFont="1" applyAlignment="1">
      <alignment horizontal="center"/>
    </xf>
    <xf numFmtId="0" fontId="6" fillId="0" borderId="0" xfId="0" applyFont="1" applyAlignment="1" applyProtection="1">
      <alignment horizontal="center" vertical="top"/>
    </xf>
    <xf numFmtId="0" fontId="33" fillId="0" borderId="0" xfId="0" applyFont="1" applyAlignment="1" applyProtection="1">
      <alignment horizontal="center" vertical="top"/>
    </xf>
    <xf numFmtId="0" fontId="6" fillId="0" borderId="0" xfId="0" applyFont="1" applyAlignment="1" applyProtection="1">
      <alignment horizontal="center" vertical="center"/>
    </xf>
    <xf numFmtId="0" fontId="6" fillId="0" borderId="0" xfId="0" applyFont="1" applyFill="1" applyBorder="1" applyAlignment="1" applyProtection="1">
      <alignment horizontal="center" vertical="center"/>
    </xf>
    <xf numFmtId="0" fontId="6" fillId="0" borderId="4" xfId="0" applyFont="1" applyBorder="1" applyAlignment="1">
      <alignment horizontal="center"/>
    </xf>
    <xf numFmtId="0" fontId="0" fillId="0" borderId="0" xfId="0" applyAlignment="1" applyProtection="1">
      <alignment vertical="center"/>
    </xf>
    <xf numFmtId="0" fontId="0" fillId="0" borderId="0" xfId="0" applyFill="1" applyAlignment="1">
      <alignment horizontal="left" vertical="center"/>
    </xf>
    <xf numFmtId="0" fontId="32" fillId="0" borderId="4" xfId="0" applyFont="1" applyFill="1" applyBorder="1" applyAlignment="1" applyProtection="1">
      <alignment horizontal="center" vertical="center" wrapText="1"/>
    </xf>
    <xf numFmtId="0" fontId="19" fillId="0" borderId="0" xfId="0" applyFont="1" applyFill="1" applyProtection="1"/>
    <xf numFmtId="0" fontId="0" fillId="0" borderId="0" xfId="0" applyAlignment="1" applyProtection="1">
      <alignment horizontal="left" vertical="center"/>
    </xf>
    <xf numFmtId="0" fontId="11" fillId="0" borderId="4" xfId="0" applyFont="1" applyBorder="1" applyAlignment="1">
      <alignment horizontal="center" vertical="top" wrapText="1"/>
    </xf>
    <xf numFmtId="0" fontId="6" fillId="0" borderId="0" xfId="0" applyFont="1" applyFill="1" applyProtection="1"/>
    <xf numFmtId="164" fontId="0" fillId="0" borderId="0" xfId="0" applyNumberFormat="1" applyAlignment="1">
      <alignment horizontal="center"/>
    </xf>
    <xf numFmtId="0" fontId="6"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21" fillId="0" borderId="0" xfId="0" applyFont="1" applyAlignment="1" applyProtection="1">
      <alignment horizontal="left"/>
      <protection locked="0"/>
    </xf>
    <xf numFmtId="0" fontId="4" fillId="0" borderId="0" xfId="0" applyFont="1" applyAlignment="1" applyProtection="1">
      <alignment horizontal="center" vertical="center" wrapText="1"/>
      <protection locked="0"/>
    </xf>
    <xf numFmtId="0" fontId="4" fillId="3" borderId="0" xfId="0" applyFont="1" applyFill="1" applyAlignment="1" applyProtection="1">
      <alignment horizontal="left"/>
      <protection locked="0"/>
    </xf>
    <xf numFmtId="2" fontId="0" fillId="0" borderId="0" xfId="0" applyNumberFormat="1" applyBorder="1" applyAlignment="1">
      <alignment horizontal="center"/>
    </xf>
    <xf numFmtId="2" fontId="15" fillId="0" borderId="0" xfId="0" applyNumberFormat="1" applyFont="1" applyBorder="1" applyAlignment="1">
      <alignment horizontal="center"/>
    </xf>
    <xf numFmtId="0" fontId="15" fillId="4" borderId="1" xfId="0" applyFont="1" applyFill="1" applyBorder="1"/>
    <xf numFmtId="0" fontId="15" fillId="2" borderId="1" xfId="0" applyFont="1" applyFill="1" applyBorder="1"/>
    <xf numFmtId="0" fontId="6" fillId="0" borderId="4" xfId="0" applyFont="1" applyBorder="1" applyAlignment="1" applyProtection="1">
      <alignment horizontal="center" vertical="top"/>
    </xf>
    <xf numFmtId="0" fontId="0" fillId="0" borderId="0" xfId="0" applyFont="1" applyProtection="1"/>
    <xf numFmtId="2" fontId="2" fillId="0" borderId="1" xfId="0" applyNumberFormat="1" applyFont="1" applyBorder="1" applyAlignment="1">
      <alignment horizontal="center" vertical="top" wrapText="1"/>
    </xf>
    <xf numFmtId="2" fontId="2" fillId="0" borderId="1" xfId="0" applyNumberFormat="1" applyFont="1" applyBorder="1" applyAlignment="1">
      <alignment horizontal="center" vertical="center" wrapText="1"/>
    </xf>
    <xf numFmtId="0" fontId="2" fillId="0" borderId="3" xfId="0" applyFont="1" applyBorder="1" applyAlignment="1" applyProtection="1">
      <alignment horizontal="left" vertical="top" wrapText="1"/>
      <protection locked="0"/>
    </xf>
    <xf numFmtId="0" fontId="2" fillId="0" borderId="1" xfId="0" applyFont="1" applyBorder="1" applyAlignment="1">
      <alignment horizontal="center" vertical="center" wrapText="1"/>
    </xf>
    <xf numFmtId="2" fontId="0" fillId="2" borderId="7" xfId="0" applyNumberFormat="1" applyFill="1" applyBorder="1" applyAlignment="1" applyProtection="1">
      <alignment horizontal="center" vertical="center"/>
      <protection locked="0"/>
    </xf>
    <xf numFmtId="2" fontId="0" fillId="2" borderId="5" xfId="0" applyNumberFormat="1" applyFill="1" applyBorder="1" applyAlignment="1" applyProtection="1">
      <alignment horizontal="center" vertical="center"/>
      <protection locked="0"/>
    </xf>
    <xf numFmtId="1" fontId="0" fillId="2" borderId="7" xfId="0" applyNumberFormat="1" applyFill="1" applyBorder="1" applyAlignment="1" applyProtection="1">
      <alignment horizontal="center" vertical="center"/>
      <protection locked="0"/>
    </xf>
    <xf numFmtId="0" fontId="0" fillId="0" borderId="0" xfId="0" applyAlignment="1"/>
    <xf numFmtId="0" fontId="0" fillId="9" borderId="0" xfId="0" applyFill="1" applyProtection="1"/>
    <xf numFmtId="1" fontId="0" fillId="2" borderId="5" xfId="0" applyNumberFormat="1" applyFill="1" applyBorder="1" applyAlignment="1" applyProtection="1">
      <alignment horizontal="center" vertical="center"/>
      <protection locked="0"/>
    </xf>
    <xf numFmtId="0" fontId="7" fillId="0" borderId="14"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11" fillId="0" borderId="17" xfId="0" applyFont="1" applyBorder="1" applyAlignment="1" applyProtection="1">
      <alignment horizontal="center" vertical="top" wrapText="1"/>
    </xf>
    <xf numFmtId="0" fontId="11" fillId="0" borderId="3" xfId="0" applyFont="1" applyBorder="1" applyAlignment="1" applyProtection="1">
      <alignment horizontal="left" vertical="top" wrapText="1"/>
    </xf>
    <xf numFmtId="2" fontId="2" fillId="0" borderId="18" xfId="0" applyNumberFormat="1" applyFont="1" applyBorder="1" applyAlignment="1" applyProtection="1">
      <alignment horizontal="center" vertical="center" wrapText="1"/>
    </xf>
    <xf numFmtId="0" fontId="32" fillId="0" borderId="4" xfId="0" applyFont="1" applyBorder="1" applyAlignment="1" applyProtection="1">
      <alignment horizontal="center" vertical="top" wrapText="1"/>
    </xf>
    <xf numFmtId="0" fontId="32" fillId="0" borderId="1" xfId="0" applyFont="1" applyBorder="1" applyAlignment="1" applyProtection="1">
      <alignment horizontal="left" vertical="top" wrapText="1"/>
    </xf>
    <xf numFmtId="0" fontId="26" fillId="0" borderId="1" xfId="0" applyFont="1" applyBorder="1" applyAlignment="1" applyProtection="1">
      <alignment horizontal="left" vertical="top" wrapText="1"/>
    </xf>
    <xf numFmtId="0" fontId="11" fillId="0" borderId="1" xfId="0" applyFont="1" applyBorder="1" applyAlignment="1" applyProtection="1">
      <alignment horizontal="left" vertical="top" wrapText="1"/>
    </xf>
    <xf numFmtId="2" fontId="2" fillId="0" borderId="7" xfId="0" applyNumberFormat="1" applyFont="1" applyBorder="1" applyAlignment="1" applyProtection="1">
      <alignment horizontal="center" vertical="center" wrapText="1"/>
    </xf>
    <xf numFmtId="0" fontId="0" fillId="0" borderId="1" xfId="0" applyBorder="1" applyAlignment="1" applyProtection="1">
      <alignment horizontal="left" vertical="top" wrapText="1"/>
    </xf>
    <xf numFmtId="2" fontId="2" fillId="0" borderId="7" xfId="0" applyNumberFormat="1" applyFont="1" applyFill="1" applyBorder="1" applyAlignment="1" applyProtection="1">
      <alignment horizontal="center" vertical="center" wrapText="1"/>
    </xf>
    <xf numFmtId="0" fontId="5" fillId="0" borderId="0" xfId="0" applyFont="1" applyAlignment="1" applyProtection="1">
      <alignment horizontal="center"/>
    </xf>
    <xf numFmtId="0" fontId="2" fillId="0" borderId="3" xfId="0" applyFont="1" applyBorder="1" applyAlignment="1" applyProtection="1">
      <alignment horizontal="left" vertical="top" wrapText="1"/>
    </xf>
    <xf numFmtId="2" fontId="43" fillId="0" borderId="18" xfId="0" applyNumberFormat="1" applyFont="1" applyFill="1" applyBorder="1" applyAlignment="1" applyProtection="1">
      <alignment horizontal="center" vertical="center" wrapText="1"/>
    </xf>
    <xf numFmtId="2" fontId="43" fillId="0" borderId="7" xfId="0" applyNumberFormat="1" applyFont="1" applyFill="1" applyBorder="1" applyAlignment="1" applyProtection="1">
      <alignment horizontal="center" vertical="center" wrapText="1"/>
    </xf>
    <xf numFmtId="0" fontId="44" fillId="0" borderId="0" xfId="0" applyFont="1" applyProtection="1"/>
    <xf numFmtId="0" fontId="2" fillId="0" borderId="18"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2" fontId="2" fillId="0" borderId="1" xfId="0" applyNumberFormat="1" applyFont="1" applyBorder="1" applyAlignment="1" applyProtection="1">
      <alignment horizontal="center" vertical="top" wrapText="1"/>
      <protection locked="0"/>
    </xf>
    <xf numFmtId="2" fontId="2" fillId="0" borderId="1" xfId="0" applyNumberFormat="1" applyFont="1" applyBorder="1" applyAlignment="1" applyProtection="1">
      <alignment horizontal="center" vertical="center" wrapText="1"/>
      <protection locked="0"/>
    </xf>
    <xf numFmtId="0" fontId="11" fillId="0" borderId="7" xfId="0" applyFont="1" applyBorder="1" applyAlignment="1" applyProtection="1">
      <alignment horizontal="left" vertical="top" wrapText="1"/>
      <protection locked="0"/>
    </xf>
    <xf numFmtId="0" fontId="0" fillId="0" borderId="0" xfId="0" applyFont="1"/>
    <xf numFmtId="0" fontId="0" fillId="5" borderId="0" xfId="0" applyFill="1"/>
    <xf numFmtId="0" fontId="0" fillId="5" borderId="0" xfId="0" applyFill="1" applyProtection="1">
      <protection locked="0"/>
    </xf>
    <xf numFmtId="0" fontId="0" fillId="5" borderId="0" xfId="0" applyFill="1" applyAlignment="1">
      <alignment horizontal="left"/>
    </xf>
    <xf numFmtId="0" fontId="36" fillId="5" borderId="0" xfId="0" applyFont="1" applyFill="1"/>
    <xf numFmtId="0" fontId="36" fillId="5" borderId="0" xfId="0" applyFont="1" applyFill="1" applyAlignment="1"/>
    <xf numFmtId="0" fontId="36" fillId="5" borderId="0" xfId="0" applyFont="1" applyFill="1" applyAlignment="1">
      <alignment horizontal="center"/>
    </xf>
    <xf numFmtId="0" fontId="37" fillId="5" borderId="0" xfId="0" applyFont="1" applyFill="1" applyAlignment="1">
      <alignment horizontal="center"/>
    </xf>
    <xf numFmtId="0" fontId="6" fillId="7" borderId="0" xfId="0" applyFont="1" applyFill="1" applyBorder="1" applyAlignment="1" applyProtection="1">
      <alignment horizontal="left" vertical="top"/>
    </xf>
    <xf numFmtId="2" fontId="0" fillId="10" borderId="7" xfId="0" applyNumberFormat="1" applyFill="1" applyBorder="1" applyAlignment="1" applyProtection="1">
      <alignment horizontal="center" vertical="center"/>
    </xf>
    <xf numFmtId="2" fontId="0" fillId="10" borderId="20" xfId="0" applyNumberFormat="1" applyFill="1" applyBorder="1" applyAlignment="1" applyProtection="1">
      <alignment horizontal="center" vertical="center"/>
    </xf>
    <xf numFmtId="0" fontId="47" fillId="11" borderId="14" xfId="0" applyFont="1" applyFill="1" applyBorder="1" applyAlignment="1" applyProtection="1">
      <alignment horizontal="center" vertical="center" wrapText="1"/>
    </xf>
    <xf numFmtId="0" fontId="47" fillId="11" borderId="15" xfId="0" applyFont="1" applyFill="1" applyBorder="1" applyAlignment="1" applyProtection="1">
      <alignment horizontal="center" vertical="center" wrapText="1"/>
    </xf>
    <xf numFmtId="0" fontId="47" fillId="11" borderId="27" xfId="0" applyFont="1" applyFill="1" applyBorder="1" applyAlignment="1" applyProtection="1">
      <alignment horizontal="center" vertical="center" wrapText="1"/>
    </xf>
    <xf numFmtId="0" fontId="0" fillId="0" borderId="0" xfId="0" applyFont="1" applyAlignment="1" applyProtection="1">
      <alignment horizontal="left" vertical="top"/>
    </xf>
    <xf numFmtId="2" fontId="0" fillId="10" borderId="20" xfId="0" applyNumberFormat="1" applyFill="1" applyBorder="1" applyAlignment="1" applyProtection="1">
      <alignment horizontal="center"/>
    </xf>
    <xf numFmtId="0" fontId="0" fillId="10" borderId="20" xfId="0" applyFill="1" applyBorder="1" applyAlignment="1" applyProtection="1">
      <alignment horizontal="center" vertical="center"/>
    </xf>
    <xf numFmtId="10" fontId="41" fillId="10" borderId="7" xfId="1" applyNumberFormat="1" applyFont="1" applyFill="1" applyBorder="1" applyAlignment="1" applyProtection="1">
      <alignment horizontal="center" vertical="center"/>
    </xf>
    <xf numFmtId="0" fontId="0" fillId="10" borderId="7" xfId="0" applyFill="1" applyBorder="1" applyAlignment="1" applyProtection="1">
      <alignment horizontal="center" vertical="center"/>
    </xf>
    <xf numFmtId="0" fontId="2" fillId="0" borderId="1" xfId="0" applyFont="1" applyBorder="1" applyAlignment="1" applyProtection="1"/>
    <xf numFmtId="2" fontId="0" fillId="10" borderId="26" xfId="0" applyNumberFormat="1" applyFill="1" applyBorder="1" applyAlignment="1" applyProtection="1">
      <alignment horizontal="center" vertical="center"/>
    </xf>
    <xf numFmtId="0" fontId="48" fillId="0" borderId="0" xfId="0" applyFont="1" applyAlignment="1">
      <alignment horizontal="center"/>
    </xf>
    <xf numFmtId="0" fontId="42" fillId="12" borderId="1" xfId="0" applyFont="1" applyFill="1" applyBorder="1"/>
    <xf numFmtId="0" fontId="42" fillId="13" borderId="1" xfId="0" applyFont="1" applyFill="1" applyBorder="1"/>
    <xf numFmtId="0" fontId="2" fillId="0" borderId="1" xfId="0" applyFont="1" applyBorder="1" applyAlignment="1" applyProtection="1">
      <alignment horizontal="center" vertical="center" wrapText="1"/>
      <protection locked="0"/>
    </xf>
    <xf numFmtId="2" fontId="2" fillId="0" borderId="9" xfId="0" applyNumberFormat="1" applyFont="1" applyBorder="1" applyAlignment="1" applyProtection="1">
      <alignment horizontal="center" vertical="center" wrapText="1"/>
      <protection locked="0"/>
    </xf>
    <xf numFmtId="0" fontId="32" fillId="0" borderId="1" xfId="0" applyFont="1" applyBorder="1" applyAlignment="1">
      <alignment horizontal="left" vertical="top" wrapText="1"/>
    </xf>
    <xf numFmtId="0" fontId="2" fillId="0" borderId="28"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protection locked="0"/>
    </xf>
    <xf numFmtId="2" fontId="0" fillId="10" borderId="29" xfId="0" applyNumberFormat="1" applyFill="1" applyBorder="1" applyAlignment="1" applyProtection="1">
      <alignment horizontal="center" vertical="center"/>
    </xf>
    <xf numFmtId="0" fontId="6" fillId="0" borderId="0" xfId="0" applyFont="1" applyFill="1" applyBorder="1" applyAlignment="1" applyProtection="1">
      <alignment vertical="top" wrapText="1"/>
      <protection locked="0"/>
    </xf>
    <xf numFmtId="0" fontId="49" fillId="0" borderId="0" xfId="0" applyFont="1" applyBorder="1" applyAlignment="1">
      <alignment vertical="center" wrapText="1"/>
    </xf>
    <xf numFmtId="0" fontId="49" fillId="0" borderId="1" xfId="0" applyFont="1" applyBorder="1" applyAlignment="1">
      <alignment vertical="center" wrapText="1"/>
    </xf>
    <xf numFmtId="0" fontId="49" fillId="0" borderId="1" xfId="0" applyFont="1" applyBorder="1" applyAlignment="1">
      <alignment horizontal="left" vertical="center" wrapText="1"/>
    </xf>
    <xf numFmtId="0" fontId="0" fillId="0" borderId="0" xfId="0" applyBorder="1" applyAlignment="1">
      <alignment horizontal="center"/>
    </xf>
    <xf numFmtId="0" fontId="49" fillId="0" borderId="30" xfId="0" applyFont="1" applyBorder="1" applyAlignment="1">
      <alignment wrapText="1"/>
    </xf>
    <xf numFmtId="0" fontId="49" fillId="0" borderId="22" xfId="0" applyFont="1" applyBorder="1" applyAlignment="1">
      <alignment wrapText="1"/>
    </xf>
    <xf numFmtId="0" fontId="49" fillId="0" borderId="1" xfId="0" applyFont="1" applyBorder="1" applyAlignment="1">
      <alignment vertical="top" wrapText="1"/>
    </xf>
    <xf numFmtId="0" fontId="6" fillId="0" borderId="0" xfId="0"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0" fontId="0" fillId="0" borderId="4" xfId="0" applyBorder="1" applyAlignment="1">
      <alignment horizontal="center" vertical="top"/>
    </xf>
    <xf numFmtId="0" fontId="0" fillId="0" borderId="31" xfId="0" applyBorder="1" applyAlignment="1">
      <alignment horizontal="center" vertical="top"/>
    </xf>
    <xf numFmtId="0" fontId="2" fillId="0" borderId="19" xfId="0" applyFont="1" applyFill="1" applyBorder="1" applyAlignment="1" applyProtection="1">
      <alignment horizontal="center" vertical="top" wrapText="1"/>
    </xf>
    <xf numFmtId="0" fontId="2" fillId="0" borderId="32" xfId="0" applyFont="1" applyFill="1" applyBorder="1" applyAlignment="1" applyProtection="1">
      <alignment horizontal="left" vertical="top" wrapText="1"/>
    </xf>
    <xf numFmtId="2" fontId="0" fillId="0" borderId="33" xfId="0" applyNumberFormat="1" applyFill="1" applyBorder="1" applyAlignment="1" applyProtection="1">
      <alignment horizontal="center" vertical="center"/>
    </xf>
    <xf numFmtId="0" fontId="2" fillId="0" borderId="1" xfId="0" applyFont="1" applyFill="1" applyBorder="1" applyAlignment="1" applyProtection="1">
      <alignment horizontal="left" vertical="top" wrapText="1"/>
    </xf>
    <xf numFmtId="0" fontId="2" fillId="0" borderId="4" xfId="0" applyFont="1" applyFill="1" applyBorder="1" applyAlignment="1" applyProtection="1">
      <alignment horizontal="center" vertical="top" wrapText="1"/>
    </xf>
    <xf numFmtId="0" fontId="49" fillId="0" borderId="3" xfId="0" applyFont="1" applyBorder="1" applyAlignment="1">
      <alignment vertical="center" wrapText="1"/>
    </xf>
    <xf numFmtId="2" fontId="50" fillId="0" borderId="34" xfId="0" applyNumberFormat="1" applyFont="1" applyFill="1" applyBorder="1" applyAlignment="1">
      <alignment horizontal="center" vertical="center" wrapText="1"/>
    </xf>
    <xf numFmtId="2" fontId="50" fillId="0" borderId="34" xfId="0" applyNumberFormat="1" applyFont="1" applyFill="1" applyBorder="1" applyAlignment="1">
      <alignment horizontal="center" wrapText="1"/>
    </xf>
    <xf numFmtId="0" fontId="49" fillId="0" borderId="7" xfId="0" applyFont="1" applyBorder="1" applyAlignment="1">
      <alignment wrapText="1"/>
    </xf>
    <xf numFmtId="0" fontId="49" fillId="0" borderId="26" xfId="0" applyFont="1" applyBorder="1" applyAlignment="1">
      <alignment wrapText="1"/>
    </xf>
    <xf numFmtId="0" fontId="49" fillId="0" borderId="0" xfId="0" applyFont="1" applyBorder="1" applyAlignment="1">
      <alignment vertical="top" wrapText="1"/>
    </xf>
    <xf numFmtId="0" fontId="49" fillId="0" borderId="0" xfId="0" applyFont="1" applyBorder="1" applyAlignment="1">
      <alignment horizontal="left" vertical="top"/>
    </xf>
    <xf numFmtId="0" fontId="6" fillId="0" borderId="0" xfId="0" applyFont="1" applyAlignment="1" applyProtection="1">
      <alignment horizontal="left" vertical="top" wrapText="1"/>
    </xf>
    <xf numFmtId="2" fontId="0" fillId="0" borderId="26" xfId="0" applyNumberFormat="1" applyFill="1" applyBorder="1" applyAlignment="1" applyProtection="1">
      <alignment horizontal="center" vertical="center"/>
    </xf>
    <xf numFmtId="2" fontId="0" fillId="0" borderId="18" xfId="0" applyNumberFormat="1" applyFill="1" applyBorder="1" applyAlignment="1" applyProtection="1">
      <alignment horizontal="center" vertical="center"/>
    </xf>
    <xf numFmtId="0" fontId="2" fillId="0" borderId="28" xfId="0" applyFont="1" applyBorder="1" applyAlignment="1">
      <alignment vertical="top" wrapText="1"/>
    </xf>
    <xf numFmtId="0" fontId="2" fillId="0" borderId="4" xfId="0" applyFont="1" applyBorder="1" applyAlignment="1">
      <alignment horizontal="center" vertical="top"/>
    </xf>
    <xf numFmtId="0" fontId="2" fillId="0" borderId="4" xfId="0" applyFont="1" applyBorder="1" applyAlignment="1">
      <alignment horizontal="center" vertical="top" wrapText="1"/>
    </xf>
    <xf numFmtId="2" fontId="0" fillId="0" borderId="34" xfId="0" applyNumberFormat="1" applyFill="1" applyBorder="1" applyAlignment="1" applyProtection="1">
      <alignment horizontal="center" vertical="center"/>
    </xf>
    <xf numFmtId="0" fontId="49" fillId="0" borderId="0" xfId="0" applyFont="1" applyBorder="1" applyAlignment="1">
      <alignment vertical="top"/>
    </xf>
    <xf numFmtId="0" fontId="2" fillId="0" borderId="28" xfId="0" applyFont="1" applyBorder="1" applyAlignment="1">
      <alignment vertical="center" wrapText="1"/>
    </xf>
    <xf numFmtId="0" fontId="2" fillId="0" borderId="28"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center" vertical="center" wrapText="1"/>
    </xf>
    <xf numFmtId="0" fontId="2" fillId="0" borderId="19" xfId="0" applyFont="1" applyBorder="1" applyAlignment="1" applyProtection="1">
      <alignment horizontal="center" vertical="top" wrapText="1"/>
    </xf>
    <xf numFmtId="0" fontId="46" fillId="0" borderId="22" xfId="0" applyFont="1" applyBorder="1" applyAlignment="1">
      <alignment vertical="top" wrapText="1"/>
    </xf>
    <xf numFmtId="0" fontId="46" fillId="0" borderId="3" xfId="0" applyFont="1" applyBorder="1" applyAlignment="1">
      <alignment horizontal="left" vertical="top" wrapText="1"/>
    </xf>
    <xf numFmtId="0" fontId="46" fillId="0" borderId="1" xfId="0" applyFont="1" applyBorder="1" applyAlignment="1">
      <alignment horizontal="left" vertical="top" wrapText="1"/>
    </xf>
    <xf numFmtId="0" fontId="2" fillId="0" borderId="4" xfId="0" applyFont="1" applyBorder="1" applyAlignment="1" applyProtection="1">
      <alignment horizontal="center" vertical="top" wrapText="1"/>
    </xf>
    <xf numFmtId="0" fontId="0" fillId="0" borderId="26"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3" xfId="0" applyFill="1" applyBorder="1" applyAlignment="1" applyProtection="1">
      <alignment horizontal="center" vertical="center"/>
    </xf>
    <xf numFmtId="0" fontId="2" fillId="0" borderId="28" xfId="0" applyFont="1" applyBorder="1" applyAlignment="1" applyProtection="1">
      <alignment vertical="top" wrapText="1"/>
    </xf>
    <xf numFmtId="0" fontId="2" fillId="0" borderId="1" xfId="0" applyFont="1" applyBorder="1" applyAlignment="1" applyProtection="1">
      <alignment vertical="top" wrapText="1"/>
    </xf>
    <xf numFmtId="0" fontId="2" fillId="0" borderId="35" xfId="0" applyFont="1" applyBorder="1" applyAlignment="1" applyProtection="1">
      <alignment horizontal="center" vertical="top" wrapText="1"/>
    </xf>
    <xf numFmtId="0" fontId="2" fillId="0" borderId="1" xfId="0" applyFont="1" applyBorder="1" applyAlignment="1" applyProtection="1">
      <alignment horizontal="left" wrapText="1"/>
    </xf>
    <xf numFmtId="0" fontId="2" fillId="0" borderId="1" xfId="0" applyFont="1" applyBorder="1" applyAlignment="1" applyProtection="1">
      <alignment horizontal="left" vertical="top" wrapText="1"/>
    </xf>
    <xf numFmtId="0" fontId="6" fillId="0" borderId="36" xfId="0" applyFont="1" applyBorder="1" applyAlignment="1" applyProtection="1">
      <alignment horizontal="center" vertical="top"/>
    </xf>
    <xf numFmtId="2" fontId="0" fillId="0" borderId="37" xfId="0" applyNumberFormat="1" applyFill="1" applyBorder="1" applyAlignment="1" applyProtection="1">
      <alignment horizontal="center" vertical="center"/>
    </xf>
    <xf numFmtId="0" fontId="6" fillId="0" borderId="35" xfId="0" applyFont="1" applyBorder="1" applyAlignment="1" applyProtection="1">
      <alignment horizontal="center" vertical="top" wrapText="1"/>
    </xf>
    <xf numFmtId="0" fontId="49" fillId="0" borderId="1" xfId="0" applyFont="1" applyBorder="1" applyAlignment="1">
      <alignment horizontal="left" vertical="top" wrapText="1"/>
    </xf>
    <xf numFmtId="0" fontId="6" fillId="0" borderId="35" xfId="0" applyFont="1" applyBorder="1" applyAlignment="1" applyProtection="1">
      <alignment horizontal="center" vertical="top"/>
    </xf>
    <xf numFmtId="1" fontId="0" fillId="0" borderId="34" xfId="0" applyNumberFormat="1" applyFill="1" applyBorder="1" applyAlignment="1" applyProtection="1">
      <alignment horizontal="center" vertical="center"/>
    </xf>
    <xf numFmtId="0" fontId="6" fillId="0" borderId="35" xfId="0" applyFont="1" applyBorder="1" applyAlignment="1">
      <alignment horizontal="center" vertical="top" wrapText="1"/>
    </xf>
    <xf numFmtId="0" fontId="6" fillId="0" borderId="35" xfId="0" applyFont="1" applyBorder="1" applyAlignment="1" applyProtection="1">
      <alignment horizontal="center"/>
    </xf>
    <xf numFmtId="0" fontId="2" fillId="0" borderId="1" xfId="0" applyFont="1" applyBorder="1" applyAlignment="1">
      <alignment vertical="top" wrapText="1"/>
    </xf>
    <xf numFmtId="0" fontId="46" fillId="0" borderId="1" xfId="0" applyFont="1" applyBorder="1" applyAlignment="1">
      <alignment horizontal="left" vertical="top"/>
    </xf>
    <xf numFmtId="0" fontId="32" fillId="0" borderId="38" xfId="0" applyFont="1" applyBorder="1" applyAlignment="1">
      <alignment horizontal="center" vertical="top" wrapText="1"/>
    </xf>
    <xf numFmtId="0" fontId="32" fillId="0" borderId="4" xfId="0" applyFont="1" applyBorder="1" applyAlignment="1">
      <alignment horizontal="center" vertical="top" wrapText="1"/>
    </xf>
    <xf numFmtId="0" fontId="2" fillId="0" borderId="35" xfId="0" applyFont="1" applyBorder="1" applyAlignment="1" applyProtection="1">
      <alignment horizontal="center" vertical="top"/>
    </xf>
    <xf numFmtId="0" fontId="2" fillId="0" borderId="31" xfId="0" applyFont="1" applyBorder="1" applyAlignment="1" applyProtection="1">
      <alignment horizontal="center" vertical="top"/>
    </xf>
    <xf numFmtId="0" fontId="2" fillId="0" borderId="22" xfId="0" applyFont="1" applyBorder="1" applyAlignment="1" applyProtection="1">
      <alignment horizontal="left"/>
    </xf>
    <xf numFmtId="0" fontId="32" fillId="0" borderId="1" xfId="0" applyFont="1" applyBorder="1" applyAlignment="1">
      <alignment vertical="top" wrapText="1"/>
    </xf>
    <xf numFmtId="0" fontId="32" fillId="0" borderId="35" xfId="0" applyFont="1" applyBorder="1" applyAlignment="1">
      <alignment horizontal="center" vertical="top" wrapText="1"/>
    </xf>
    <xf numFmtId="0" fontId="32" fillId="0" borderId="36" xfId="0" applyFont="1" applyBorder="1" applyAlignment="1">
      <alignment horizontal="center" vertical="top" wrapText="1"/>
    </xf>
    <xf numFmtId="10" fontId="41" fillId="0" borderId="33" xfId="1" applyNumberFormat="1" applyFont="1" applyFill="1" applyBorder="1" applyAlignment="1" applyProtection="1">
      <alignment horizontal="center" vertical="center"/>
    </xf>
    <xf numFmtId="0" fontId="49" fillId="0" borderId="1" xfId="0" applyFont="1" applyBorder="1" applyAlignment="1">
      <alignment horizontal="left" vertical="top"/>
    </xf>
    <xf numFmtId="10" fontId="41" fillId="0" borderId="34" xfId="1" applyNumberFormat="1" applyFont="1" applyFill="1" applyBorder="1" applyAlignment="1" applyProtection="1">
      <alignment horizontal="center" vertical="center"/>
    </xf>
    <xf numFmtId="0" fontId="2" fillId="0" borderId="1" xfId="0" applyFont="1" applyBorder="1" applyAlignment="1">
      <alignment horizontal="left" vertical="top" wrapText="1"/>
    </xf>
    <xf numFmtId="0" fontId="2" fillId="0" borderId="19" xfId="0" applyFont="1" applyBorder="1" applyAlignment="1">
      <alignment horizontal="center" vertical="top" wrapText="1"/>
    </xf>
    <xf numFmtId="0" fontId="2" fillId="0" borderId="22" xfId="0" applyFont="1" applyBorder="1" applyAlignment="1">
      <alignment horizontal="left" vertical="top" wrapText="1"/>
    </xf>
    <xf numFmtId="0" fontId="6" fillId="0" borderId="31" xfId="0" applyFont="1" applyBorder="1" applyAlignment="1" applyProtection="1">
      <alignment horizontal="center"/>
    </xf>
    <xf numFmtId="0" fontId="49" fillId="0" borderId="1" xfId="0" applyFont="1" applyBorder="1" applyAlignment="1">
      <alignment horizontal="left" vertical="center"/>
    </xf>
    <xf numFmtId="2" fontId="41" fillId="10" borderId="7" xfId="1" applyNumberFormat="1" applyFont="1" applyFill="1" applyBorder="1" applyAlignment="1" applyProtection="1">
      <alignment horizontal="center" vertical="center"/>
    </xf>
    <xf numFmtId="0" fontId="49" fillId="0" borderId="19" xfId="0" applyFont="1" applyBorder="1" applyAlignment="1">
      <alignment horizontal="center" vertical="center"/>
    </xf>
    <xf numFmtId="0" fontId="49" fillId="0" borderId="4" xfId="0" applyFont="1" applyBorder="1" applyAlignment="1">
      <alignment horizontal="center" vertical="center"/>
    </xf>
    <xf numFmtId="0" fontId="2" fillId="0" borderId="32" xfId="0" applyFont="1" applyBorder="1" applyAlignment="1">
      <alignment horizontal="left" vertical="center" wrapText="1"/>
    </xf>
    <xf numFmtId="0" fontId="2" fillId="0" borderId="19" xfId="0" applyFont="1" applyBorder="1" applyAlignment="1">
      <alignment horizontal="center" vertical="center" wrapText="1"/>
    </xf>
    <xf numFmtId="0" fontId="6" fillId="0" borderId="4" xfId="0" applyFont="1" applyBorder="1" applyAlignment="1">
      <alignment horizontal="center" vertical="top"/>
    </xf>
    <xf numFmtId="0" fontId="6" fillId="0" borderId="4" xfId="0" applyFont="1" applyFill="1" applyBorder="1" applyAlignment="1">
      <alignment horizontal="center" vertical="top"/>
    </xf>
    <xf numFmtId="9" fontId="41" fillId="0" borderId="26" xfId="1" applyFont="1" applyFill="1" applyBorder="1" applyAlignment="1" applyProtection="1">
      <alignment horizontal="center" vertical="center"/>
    </xf>
    <xf numFmtId="9" fontId="41" fillId="0" borderId="18" xfId="1" applyFont="1" applyFill="1" applyBorder="1" applyAlignment="1" applyProtection="1">
      <alignment horizontal="center" vertical="center"/>
    </xf>
    <xf numFmtId="9" fontId="41" fillId="0" borderId="34" xfId="1" applyFont="1" applyFill="1" applyBorder="1" applyAlignment="1" applyProtection="1">
      <alignment horizontal="center" vertical="center"/>
    </xf>
    <xf numFmtId="0" fontId="2" fillId="0" borderId="1" xfId="0" applyFont="1" applyBorder="1" applyAlignment="1">
      <alignment horizontal="center" vertical="top" wrapText="1"/>
    </xf>
    <xf numFmtId="0" fontId="2" fillId="0" borderId="32" xfId="0" applyFont="1" applyBorder="1" applyAlignment="1">
      <alignment horizontal="left" vertical="top" wrapText="1"/>
    </xf>
    <xf numFmtId="0" fontId="49" fillId="0" borderId="0" xfId="0" applyFont="1" applyBorder="1" applyAlignment="1">
      <alignment horizontal="left" vertical="top" wrapText="1"/>
    </xf>
    <xf numFmtId="0" fontId="2" fillId="0" borderId="38" xfId="0" applyFont="1" applyBorder="1" applyAlignment="1">
      <alignment horizontal="left" vertical="center" wrapText="1"/>
    </xf>
    <xf numFmtId="0" fontId="2" fillId="0" borderId="2" xfId="0" applyFont="1" applyBorder="1" applyAlignment="1">
      <alignment horizontal="left" vertical="center" wrapText="1"/>
    </xf>
    <xf numFmtId="1" fontId="0" fillId="2" borderId="26" xfId="0" applyNumberFormat="1" applyFill="1" applyBorder="1" applyAlignment="1" applyProtection="1">
      <alignment horizontal="center" vertical="center"/>
      <protection locked="0"/>
    </xf>
    <xf numFmtId="2" fontId="0" fillId="0" borderId="7" xfId="0" applyNumberFormat="1" applyFill="1" applyBorder="1" applyAlignment="1" applyProtection="1">
      <alignment horizontal="center" vertical="center"/>
    </xf>
    <xf numFmtId="0" fontId="2" fillId="0" borderId="4" xfId="0" applyFont="1" applyBorder="1" applyAlignment="1">
      <alignment horizontal="left" vertical="top" wrapText="1"/>
    </xf>
    <xf numFmtId="2" fontId="0" fillId="0" borderId="5" xfId="0" applyNumberFormat="1" applyFill="1" applyBorder="1" applyAlignment="1" applyProtection="1">
      <alignment horizontal="center" vertical="center"/>
    </xf>
    <xf numFmtId="0" fontId="6" fillId="0" borderId="31" xfId="0" applyFont="1" applyBorder="1" applyAlignment="1" applyProtection="1">
      <alignment horizontal="center" vertical="top"/>
    </xf>
    <xf numFmtId="0" fontId="2" fillId="0" borderId="1" xfId="0" applyFont="1" applyBorder="1" applyAlignment="1" applyProtection="1">
      <alignment wrapText="1"/>
    </xf>
    <xf numFmtId="0" fontId="2" fillId="0" borderId="22" xfId="0" applyFont="1" applyBorder="1" applyAlignment="1" applyProtection="1">
      <alignment horizontal="left" vertical="top" wrapText="1"/>
    </xf>
    <xf numFmtId="0" fontId="43" fillId="0" borderId="26" xfId="0" applyFont="1" applyFill="1" applyBorder="1" applyAlignment="1" applyProtection="1">
      <alignment horizontal="center" vertical="center"/>
    </xf>
    <xf numFmtId="0" fontId="43" fillId="0" borderId="33" xfId="0" applyFont="1" applyFill="1" applyBorder="1" applyAlignment="1" applyProtection="1">
      <alignment horizontal="center" vertical="center"/>
    </xf>
    <xf numFmtId="0" fontId="43" fillId="0" borderId="34" xfId="0" applyFont="1" applyFill="1" applyBorder="1" applyAlignment="1" applyProtection="1">
      <alignment horizontal="center" vertical="center"/>
    </xf>
    <xf numFmtId="0" fontId="2" fillId="0" borderId="1" xfId="0" applyFont="1" applyBorder="1" applyAlignment="1" applyProtection="1">
      <alignment vertical="center" wrapText="1"/>
    </xf>
    <xf numFmtId="0" fontId="2" fillId="0" borderId="22" xfId="0" applyFont="1" applyBorder="1" applyAlignment="1" applyProtection="1">
      <alignment vertical="center"/>
    </xf>
    <xf numFmtId="0" fontId="43" fillId="0" borderId="18" xfId="0" applyFont="1" applyFill="1" applyBorder="1" applyAlignment="1" applyProtection="1">
      <alignment horizontal="center" vertical="center"/>
    </xf>
    <xf numFmtId="0" fontId="2" fillId="0" borderId="39" xfId="0" applyFont="1" applyBorder="1" applyProtection="1"/>
    <xf numFmtId="0" fontId="2" fillId="0" borderId="22" xfId="0" applyFont="1" applyBorder="1" applyAlignment="1" applyProtection="1">
      <alignment horizontal="left" wrapText="1"/>
    </xf>
    <xf numFmtId="0" fontId="2" fillId="0" borderId="28" xfId="0" applyFont="1" applyBorder="1" applyAlignment="1" applyProtection="1">
      <alignment horizontal="left" vertical="top" wrapText="1"/>
    </xf>
    <xf numFmtId="0" fontId="2" fillId="0" borderId="28" xfId="0" applyFont="1" applyFill="1" applyBorder="1" applyAlignment="1" applyProtection="1">
      <alignment vertical="top" wrapText="1"/>
    </xf>
    <xf numFmtId="0" fontId="2" fillId="0" borderId="40" xfId="0" applyFont="1" applyFill="1" applyBorder="1" applyAlignment="1" applyProtection="1">
      <alignment vertical="top" wrapText="1"/>
    </xf>
    <xf numFmtId="0" fontId="2" fillId="0" borderId="36" xfId="0" applyFont="1" applyFill="1" applyBorder="1" applyAlignment="1" applyProtection="1">
      <alignment horizontal="center" vertical="top" wrapText="1"/>
    </xf>
    <xf numFmtId="0" fontId="2" fillId="0" borderId="35" xfId="0" applyFont="1" applyFill="1" applyBorder="1" applyAlignment="1" applyProtection="1">
      <alignment horizontal="center" vertical="top" wrapText="1"/>
    </xf>
    <xf numFmtId="0" fontId="0" fillId="12" borderId="7" xfId="0" applyFill="1" applyBorder="1" applyAlignment="1" applyProtection="1">
      <alignment horizontal="center" vertical="center"/>
      <protection locked="0"/>
    </xf>
    <xf numFmtId="1" fontId="41" fillId="12" borderId="7" xfId="1" applyNumberFormat="1" applyFont="1" applyFill="1" applyBorder="1" applyAlignment="1" applyProtection="1">
      <alignment horizontal="center" vertical="center"/>
      <protection locked="0"/>
    </xf>
    <xf numFmtId="1" fontId="41" fillId="12" borderId="26" xfId="1" applyNumberFormat="1" applyFont="1" applyFill="1" applyBorder="1" applyAlignment="1" applyProtection="1">
      <alignment horizontal="center" vertical="center"/>
      <protection locked="0"/>
    </xf>
    <xf numFmtId="0" fontId="6" fillId="0" borderId="31" xfId="0" applyFont="1" applyBorder="1" applyAlignment="1" applyProtection="1">
      <alignment horizontal="center" vertical="top" wrapText="1"/>
    </xf>
    <xf numFmtId="0" fontId="29" fillId="0" borderId="26"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34"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2" fillId="0" borderId="40" xfId="0" applyFont="1" applyBorder="1" applyAlignment="1" applyProtection="1"/>
    <xf numFmtId="0" fontId="2" fillId="0" borderId="22" xfId="0" applyFont="1" applyBorder="1" applyAlignment="1" applyProtection="1">
      <alignment horizontal="center" vertical="center"/>
    </xf>
    <xf numFmtId="0" fontId="2" fillId="0" borderId="1" xfId="0" applyFont="1" applyBorder="1" applyAlignment="1" applyProtection="1">
      <alignment horizontal="center" vertical="center"/>
    </xf>
    <xf numFmtId="2" fontId="0" fillId="12" borderId="7" xfId="0" applyNumberFormat="1" applyFill="1" applyBorder="1" applyAlignment="1" applyProtection="1">
      <alignment horizontal="center" vertical="center"/>
      <protection locked="0"/>
    </xf>
    <xf numFmtId="2" fontId="0" fillId="12" borderId="26" xfId="0" applyNumberFormat="1" applyFill="1" applyBorder="1" applyAlignment="1" applyProtection="1">
      <alignment horizontal="center" vertical="center"/>
      <protection locked="0"/>
    </xf>
    <xf numFmtId="10" fontId="41" fillId="10" borderId="26" xfId="1"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40" fillId="0" borderId="0" xfId="0" applyFont="1"/>
    <xf numFmtId="0" fontId="2" fillId="0" borderId="17"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18" xfId="0" applyFont="1" applyFill="1" applyBorder="1" applyAlignment="1">
      <alignment horizontal="center" vertical="center"/>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2" fillId="6" borderId="7" xfId="0" applyFont="1" applyFill="1" applyBorder="1" applyAlignment="1" applyProtection="1">
      <alignment horizontal="center" vertical="center"/>
    </xf>
    <xf numFmtId="2" fontId="2" fillId="6" borderId="1" xfId="0" applyNumberFormat="1" applyFont="1" applyFill="1" applyBorder="1" applyAlignment="1" applyProtection="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pplyProtection="1">
      <alignment horizontal="left"/>
    </xf>
    <xf numFmtId="0" fontId="2" fillId="0" borderId="0" xfId="0" applyFont="1" applyFill="1" applyBorder="1" applyAlignment="1" applyProtection="1">
      <alignment horizontal="center" vertical="center"/>
    </xf>
    <xf numFmtId="0" fontId="2" fillId="0" borderId="38" xfId="0" applyFont="1" applyFill="1" applyBorder="1" applyAlignment="1" applyProtection="1">
      <alignment horizontal="left"/>
    </xf>
    <xf numFmtId="2" fontId="2" fillId="0" borderId="0" xfId="0" applyNumberFormat="1" applyFont="1" applyFill="1" applyBorder="1" applyAlignment="1" applyProtection="1">
      <alignment horizontal="center" vertical="center"/>
    </xf>
    <xf numFmtId="2" fontId="2" fillId="6"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2" fontId="2" fillId="2" borderId="3" xfId="0" applyNumberFormat="1" applyFont="1" applyFill="1" applyBorder="1" applyAlignment="1" applyProtection="1">
      <alignment horizontal="center" vertical="center"/>
      <protection locked="0"/>
    </xf>
    <xf numFmtId="2" fontId="2" fillId="2" borderId="1" xfId="0" applyNumberFormat="1" applyFont="1" applyFill="1" applyBorder="1" applyAlignment="1" applyProtection="1">
      <alignment horizontal="center" vertical="center"/>
      <protection locked="0"/>
    </xf>
    <xf numFmtId="0" fontId="2" fillId="0" borderId="42" xfId="0" applyFont="1" applyBorder="1" applyAlignment="1">
      <alignment horizontal="left" vertical="top" wrapText="1"/>
    </xf>
    <xf numFmtId="0" fontId="2" fillId="0" borderId="4" xfId="0" applyFont="1" applyBorder="1" applyAlignment="1" applyProtection="1"/>
    <xf numFmtId="0" fontId="2" fillId="0" borderId="0" xfId="0" applyFont="1" applyBorder="1" applyProtection="1"/>
    <xf numFmtId="2" fontId="0" fillId="0" borderId="0" xfId="0" applyNumberFormat="1" applyFill="1" applyBorder="1" applyAlignment="1" applyProtection="1">
      <alignment horizontal="center" vertical="center"/>
    </xf>
    <xf numFmtId="0" fontId="11" fillId="0" borderId="1" xfId="0" applyFont="1" applyBorder="1" applyAlignment="1">
      <alignment horizontal="left" vertical="top" wrapText="1"/>
    </xf>
    <xf numFmtId="0" fontId="40" fillId="0" borderId="0" xfId="0" applyFont="1" applyAlignment="1">
      <alignment horizontal="right"/>
    </xf>
    <xf numFmtId="0" fontId="2" fillId="0" borderId="0" xfId="0" applyFont="1"/>
    <xf numFmtId="0" fontId="2" fillId="0" borderId="42" xfId="0" applyFont="1" applyFill="1" applyBorder="1" applyAlignment="1" applyProtection="1">
      <alignment horizontal="center" vertical="center" wrapText="1"/>
    </xf>
    <xf numFmtId="0" fontId="40" fillId="0" borderId="0" xfId="0" applyFont="1" applyFill="1"/>
    <xf numFmtId="0" fontId="2" fillId="0" borderId="4" xfId="0" applyFont="1" applyBorder="1" applyAlignment="1">
      <alignment horizontal="left" vertical="top" wrapText="1"/>
    </xf>
    <xf numFmtId="0" fontId="2" fillId="0" borderId="0" xfId="0" applyFont="1" applyFill="1" applyBorder="1" applyAlignment="1" applyProtection="1">
      <alignment horizontal="right"/>
    </xf>
    <xf numFmtId="2" fontId="2" fillId="10" borderId="9" xfId="0" applyNumberFormat="1"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0" fillId="0" borderId="0" xfId="0" applyFill="1" applyBorder="1"/>
    <xf numFmtId="0" fontId="0" fillId="0" borderId="0" xfId="0" applyFill="1" applyBorder="1" applyAlignment="1" applyProtection="1">
      <alignment horizontal="center" vertical="top"/>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2" fontId="0" fillId="10" borderId="42" xfId="0" applyNumberFormat="1" applyFill="1" applyBorder="1" applyAlignment="1" applyProtection="1">
      <alignment horizontal="center" vertical="center"/>
    </xf>
    <xf numFmtId="2" fontId="41" fillId="10" borderId="16" xfId="1" applyNumberFormat="1" applyFont="1" applyFill="1" applyBorder="1" applyAlignment="1" applyProtection="1">
      <alignment horizontal="center" vertical="center"/>
    </xf>
    <xf numFmtId="0" fontId="2" fillId="0" borderId="1" xfId="0" applyFont="1" applyBorder="1" applyAlignment="1">
      <alignment horizontal="left" vertical="top"/>
    </xf>
    <xf numFmtId="0" fontId="6" fillId="0" borderId="9" xfId="0" applyFont="1" applyBorder="1" applyAlignment="1" applyProtection="1">
      <alignment horizontal="left" vertical="center"/>
    </xf>
    <xf numFmtId="0" fontId="0" fillId="0" borderId="18" xfId="0" applyFill="1" applyBorder="1" applyAlignment="1" applyProtection="1">
      <alignment horizontal="center" vertical="center"/>
    </xf>
    <xf numFmtId="0" fontId="6" fillId="0" borderId="4" xfId="0" applyFont="1" applyFill="1" applyBorder="1" applyAlignment="1" applyProtection="1">
      <alignment horizontal="center" vertical="top"/>
    </xf>
    <xf numFmtId="0" fontId="2" fillId="0" borderId="1" xfId="0" applyFont="1" applyBorder="1" applyProtection="1"/>
    <xf numFmtId="0" fontId="2" fillId="0" borderId="1" xfId="0" applyFont="1" applyBorder="1" applyAlignment="1">
      <alignment horizontal="left" vertical="top" wrapText="1"/>
    </xf>
    <xf numFmtId="1" fontId="0" fillId="12" borderId="33" xfId="0" applyNumberFormat="1" applyFill="1" applyBorder="1" applyAlignment="1" applyProtection="1">
      <alignment horizontal="center" vertical="center"/>
      <protection locked="0"/>
    </xf>
    <xf numFmtId="1" fontId="0" fillId="12" borderId="7" xfId="0" applyNumberFormat="1" applyFill="1" applyBorder="1" applyAlignment="1" applyProtection="1">
      <alignment horizontal="center" vertical="center"/>
      <protection locked="0"/>
    </xf>
    <xf numFmtId="0" fontId="49" fillId="0" borderId="1" xfId="0" applyFont="1" applyBorder="1" applyAlignment="1">
      <alignment vertical="top"/>
    </xf>
    <xf numFmtId="1" fontId="0" fillId="10" borderId="1" xfId="0" applyNumberFormat="1" applyFill="1" applyBorder="1" applyAlignment="1" applyProtection="1">
      <alignment horizontal="center" vertical="center"/>
    </xf>
    <xf numFmtId="10" fontId="41" fillId="12" borderId="7" xfId="1" applyNumberFormat="1" applyFont="1" applyFill="1" applyBorder="1" applyAlignment="1" applyProtection="1">
      <alignment horizontal="center" vertical="center"/>
      <protection locked="0"/>
    </xf>
    <xf numFmtId="10" fontId="0" fillId="2" borderId="7" xfId="1" applyNumberFormat="1" applyFont="1" applyFill="1" applyBorder="1" applyAlignment="1" applyProtection="1">
      <alignment horizontal="center" vertical="center"/>
      <protection locked="0"/>
    </xf>
    <xf numFmtId="0" fontId="2" fillId="0" borderId="4" xfId="0" applyFont="1" applyBorder="1" applyAlignment="1">
      <alignment vertical="top" wrapText="1"/>
    </xf>
    <xf numFmtId="1" fontId="0" fillId="10" borderId="7" xfId="0" applyNumberFormat="1" applyFill="1" applyBorder="1" applyAlignment="1" applyProtection="1">
      <alignment horizontal="center" vertical="center"/>
    </xf>
    <xf numFmtId="0" fontId="2" fillId="0" borderId="10" xfId="0" applyFont="1" applyBorder="1" applyAlignment="1">
      <alignment horizontal="center" vertical="top" wrapText="1"/>
    </xf>
    <xf numFmtId="0" fontId="2" fillId="0" borderId="9" xfId="0" applyFont="1" applyBorder="1" applyAlignment="1">
      <alignment horizontal="left" vertical="top" wrapText="1"/>
    </xf>
    <xf numFmtId="2" fontId="0" fillId="0" borderId="29" xfId="0" applyNumberFormat="1" applyFill="1" applyBorder="1" applyAlignment="1" applyProtection="1">
      <alignment horizontal="center" vertical="center"/>
    </xf>
    <xf numFmtId="0" fontId="6" fillId="0" borderId="31" xfId="0" applyFont="1" applyBorder="1" applyAlignment="1">
      <alignment horizontal="center"/>
    </xf>
    <xf numFmtId="0" fontId="2" fillId="0" borderId="22" xfId="0" applyFont="1" applyBorder="1" applyAlignment="1">
      <alignment horizontal="left"/>
    </xf>
    <xf numFmtId="0" fontId="2" fillId="0" borderId="22" xfId="0" applyFont="1" applyBorder="1" applyAlignment="1">
      <alignment horizontal="left" wrapText="1"/>
    </xf>
    <xf numFmtId="0" fontId="2" fillId="0" borderId="1" xfId="0" applyFont="1" applyBorder="1" applyAlignment="1">
      <alignment horizontal="left"/>
    </xf>
    <xf numFmtId="0" fontId="2" fillId="0" borderId="1" xfId="0" applyFont="1" applyBorder="1" applyAlignment="1">
      <alignment horizontal="left" wrapText="1"/>
    </xf>
    <xf numFmtId="1" fontId="0" fillId="0" borderId="26" xfId="0" applyNumberFormat="1" applyFill="1" applyBorder="1" applyAlignment="1" applyProtection="1">
      <alignment horizontal="center" vertical="center"/>
    </xf>
    <xf numFmtId="1" fontId="0" fillId="0" borderId="33" xfId="0" applyNumberFormat="1" applyFill="1" applyBorder="1" applyAlignment="1" applyProtection="1">
      <alignment horizontal="center" vertical="center"/>
    </xf>
    <xf numFmtId="9" fontId="0" fillId="10" borderId="26" xfId="1" applyFont="1" applyFill="1" applyBorder="1" applyAlignment="1" applyProtection="1">
      <alignment horizontal="center" vertical="center"/>
    </xf>
    <xf numFmtId="0" fontId="0" fillId="0" borderId="0" xfId="0" applyFill="1" applyAlignment="1">
      <alignment horizontal="left" vertical="top"/>
    </xf>
    <xf numFmtId="0" fontId="6" fillId="0" borderId="31" xfId="0" applyFont="1" applyBorder="1" applyAlignment="1">
      <alignment horizontal="center" vertical="top"/>
    </xf>
    <xf numFmtId="0" fontId="2" fillId="0" borderId="23" xfId="0" applyFont="1" applyBorder="1" applyAlignment="1">
      <alignment horizontal="left" vertical="top" wrapText="1"/>
    </xf>
    <xf numFmtId="0" fontId="0" fillId="0" borderId="0" xfId="0" applyAlignment="1" applyProtection="1">
      <alignment horizontal="center" vertical="top" wrapText="1"/>
    </xf>
    <xf numFmtId="0" fontId="2" fillId="0" borderId="1" xfId="0" applyFont="1" applyFill="1" applyBorder="1" applyAlignment="1" applyProtection="1">
      <alignment horizontal="left" vertical="center" wrapText="1"/>
    </xf>
    <xf numFmtId="0" fontId="2" fillId="0" borderId="4" xfId="0" applyFont="1" applyFill="1" applyBorder="1" applyAlignment="1" applyProtection="1">
      <alignment horizontal="center" vertical="top"/>
    </xf>
    <xf numFmtId="0" fontId="2" fillId="0" borderId="1" xfId="0" applyFont="1" applyFill="1" applyBorder="1" applyAlignment="1" applyProtection="1">
      <alignment horizontal="center" vertical="top" wrapText="1"/>
    </xf>
    <xf numFmtId="0" fontId="6" fillId="0" borderId="31" xfId="0" applyFont="1" applyFill="1" applyBorder="1" applyAlignment="1" applyProtection="1">
      <alignment horizontal="center" vertical="top"/>
    </xf>
    <xf numFmtId="0" fontId="2" fillId="0" borderId="22" xfId="0" applyFont="1" applyFill="1" applyBorder="1" applyAlignment="1" applyProtection="1">
      <alignment horizontal="left" wrapText="1"/>
    </xf>
    <xf numFmtId="0" fontId="54" fillId="0" borderId="0" xfId="0" applyFont="1"/>
    <xf numFmtId="0" fontId="32" fillId="0" borderId="31" xfId="0" applyFont="1" applyBorder="1" applyAlignment="1" applyProtection="1">
      <alignment horizontal="center" vertical="top" wrapText="1"/>
    </xf>
    <xf numFmtId="0" fontId="32" fillId="0" borderId="22" xfId="0" applyFont="1" applyBorder="1" applyAlignment="1" applyProtection="1">
      <alignment horizontal="left" vertical="top" wrapText="1"/>
    </xf>
    <xf numFmtId="0" fontId="11" fillId="0" borderId="22" xfId="0" applyFont="1" applyBorder="1" applyAlignment="1" applyProtection="1">
      <alignment horizontal="left" vertical="top" wrapText="1"/>
    </xf>
    <xf numFmtId="2" fontId="2" fillId="0" borderId="26" xfId="0" applyNumberFormat="1" applyFont="1" applyFill="1" applyBorder="1" applyAlignment="1" applyProtection="1">
      <alignment horizontal="center" vertical="center" wrapText="1"/>
    </xf>
    <xf numFmtId="0" fontId="49" fillId="0" borderId="4" xfId="0" applyFont="1" applyBorder="1" applyAlignment="1">
      <alignment horizontal="center" vertical="top"/>
    </xf>
    <xf numFmtId="0" fontId="2" fillId="0" borderId="1" xfId="0" applyFont="1" applyBorder="1" applyAlignment="1">
      <alignment horizontal="left" vertical="top" wrapText="1"/>
    </xf>
    <xf numFmtId="0" fontId="32" fillId="0" borderId="3" xfId="0" applyFont="1" applyBorder="1" applyAlignment="1" applyProtection="1">
      <alignment horizontal="center" vertical="top" wrapText="1"/>
    </xf>
    <xf numFmtId="0" fontId="32" fillId="0" borderId="1" xfId="0" applyFont="1" applyBorder="1" applyAlignment="1" applyProtection="1">
      <alignment horizontal="center"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32" fillId="0" borderId="1" xfId="0" applyFont="1" applyFill="1" applyBorder="1" applyAlignment="1" applyProtection="1">
      <alignment horizontal="left" vertical="top" wrapText="1"/>
    </xf>
    <xf numFmtId="0" fontId="2" fillId="0" borderId="1" xfId="0" applyFont="1" applyFill="1" applyBorder="1" applyAlignment="1" applyProtection="1">
      <alignment horizontal="left" wrapText="1"/>
    </xf>
    <xf numFmtId="10" fontId="0" fillId="10" borderId="7" xfId="1" applyNumberFormat="1" applyFont="1" applyFill="1" applyBorder="1" applyAlignment="1" applyProtection="1">
      <alignment horizontal="center" vertical="center"/>
    </xf>
    <xf numFmtId="2" fontId="0" fillId="2" borderId="33" xfId="0" applyNumberFormat="1" applyFill="1"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31" xfId="0" applyFont="1" applyBorder="1" applyAlignment="1">
      <alignment horizontal="center" vertical="top" wrapText="1"/>
    </xf>
    <xf numFmtId="0" fontId="6" fillId="0" borderId="36" xfId="0" applyFont="1" applyFill="1" applyBorder="1" applyAlignment="1" applyProtection="1">
      <alignment horizontal="center" vertical="top"/>
    </xf>
    <xf numFmtId="0" fontId="2" fillId="0" borderId="40" xfId="0" applyFont="1" applyBorder="1" applyProtection="1"/>
    <xf numFmtId="0" fontId="46" fillId="0" borderId="1" xfId="0" applyFont="1" applyBorder="1" applyAlignment="1">
      <alignment vertical="top" wrapText="1"/>
    </xf>
    <xf numFmtId="0" fontId="0" fillId="0" borderId="7" xfId="0" applyFill="1" applyBorder="1" applyAlignment="1" applyProtection="1">
      <alignment horizontal="center" vertical="center"/>
    </xf>
    <xf numFmtId="0" fontId="0" fillId="0" borderId="61" xfId="0" applyFill="1" applyBorder="1" applyAlignment="1" applyProtection="1">
      <alignment horizontal="center" vertical="center"/>
    </xf>
    <xf numFmtId="0" fontId="46" fillId="0" borderId="1" xfId="0" applyFont="1" applyBorder="1" applyAlignment="1">
      <alignment wrapText="1"/>
    </xf>
    <xf numFmtId="0" fontId="2" fillId="0" borderId="40" xfId="0" applyFont="1" applyBorder="1" applyAlignment="1" applyProtection="1">
      <alignment wrapText="1"/>
    </xf>
    <xf numFmtId="0" fontId="6" fillId="0" borderId="35" xfId="0" applyFont="1" applyFill="1" applyBorder="1" applyAlignment="1" applyProtection="1">
      <alignment horizontal="center" vertical="top"/>
    </xf>
    <xf numFmtId="0" fontId="2" fillId="0" borderId="17" xfId="0" applyFont="1" applyBorder="1" applyAlignment="1">
      <alignment horizontal="center" vertical="top" wrapText="1"/>
    </xf>
    <xf numFmtId="0" fontId="2" fillId="0" borderId="22" xfId="0" applyFont="1" applyBorder="1"/>
    <xf numFmtId="0" fontId="2" fillId="0" borderId="1" xfId="0" applyFont="1" applyBorder="1" applyAlignment="1">
      <alignment horizontal="left" vertical="center" wrapText="1"/>
    </xf>
    <xf numFmtId="0" fontId="32" fillId="0" borderId="28" xfId="0" applyFont="1" applyFill="1" applyBorder="1" applyAlignment="1" applyProtection="1">
      <alignment vertical="top" wrapText="1"/>
    </xf>
    <xf numFmtId="0" fontId="32" fillId="0" borderId="28" xfId="0" applyFont="1" applyFill="1" applyBorder="1" applyAlignment="1" applyProtection="1">
      <alignment horizontal="left" vertical="top" wrapText="1"/>
    </xf>
    <xf numFmtId="0" fontId="32" fillId="0" borderId="4" xfId="0" applyFont="1" applyFill="1" applyBorder="1" applyAlignment="1" applyProtection="1">
      <alignment horizontal="center" vertical="top" wrapText="1"/>
    </xf>
    <xf numFmtId="0" fontId="32" fillId="0" borderId="1" xfId="0" applyFont="1" applyFill="1" applyBorder="1" applyAlignment="1" applyProtection="1">
      <alignment horizontal="center" vertical="top" wrapText="1"/>
    </xf>
    <xf numFmtId="10" fontId="41" fillId="0" borderId="37" xfId="1" applyNumberFormat="1" applyFont="1" applyFill="1" applyBorder="1" applyAlignment="1" applyProtection="1">
      <alignment horizontal="center" vertical="center"/>
    </xf>
    <xf numFmtId="0" fontId="32" fillId="0" borderId="1" xfId="0" applyFont="1" applyFill="1" applyBorder="1" applyAlignment="1" applyProtection="1">
      <alignment vertical="top" wrapText="1"/>
    </xf>
    <xf numFmtId="0" fontId="32" fillId="0" borderId="1" xfId="0" applyFont="1" applyFill="1" applyBorder="1" applyAlignment="1" applyProtection="1">
      <alignment horizontal="left" vertical="top"/>
    </xf>
    <xf numFmtId="0" fontId="32" fillId="0" borderId="22" xfId="0" applyFont="1" applyFill="1" applyBorder="1" applyAlignment="1" applyProtection="1">
      <alignment horizontal="left" vertical="top" wrapText="1"/>
    </xf>
    <xf numFmtId="0" fontId="32" fillId="0" borderId="22" xfId="0" applyFont="1" applyFill="1" applyBorder="1" applyAlignment="1" applyProtection="1">
      <alignment horizontal="left" vertical="top"/>
    </xf>
    <xf numFmtId="0" fontId="32" fillId="0" borderId="31" xfId="0" applyFont="1" applyFill="1" applyBorder="1" applyAlignment="1" applyProtection="1">
      <alignment horizontal="center" vertical="top" wrapText="1"/>
    </xf>
    <xf numFmtId="0" fontId="41" fillId="2" borderId="26" xfId="1" applyNumberFormat="1" applyFont="1" applyFill="1" applyBorder="1" applyAlignment="1" applyProtection="1">
      <alignment horizontal="center" vertical="center"/>
      <protection locked="0"/>
    </xf>
    <xf numFmtId="1" fontId="41" fillId="10" borderId="26" xfId="1" applyNumberFormat="1" applyFont="1" applyFill="1" applyBorder="1" applyAlignment="1" applyProtection="1">
      <alignment horizontal="center" vertical="center"/>
    </xf>
    <xf numFmtId="2" fontId="41" fillId="10" borderId="26" xfId="1" applyNumberFormat="1" applyFont="1" applyFill="1" applyBorder="1" applyAlignment="1" applyProtection="1">
      <alignment horizontal="center" vertical="center"/>
    </xf>
    <xf numFmtId="0" fontId="6" fillId="0" borderId="4" xfId="0" applyFont="1" applyBorder="1" applyAlignment="1" applyProtection="1">
      <alignment horizontal="center"/>
    </xf>
    <xf numFmtId="0" fontId="2" fillId="0" borderId="4" xfId="0" applyFont="1" applyBorder="1" applyAlignment="1" applyProtection="1">
      <alignment horizontal="center" vertical="top"/>
    </xf>
    <xf numFmtId="0" fontId="2" fillId="0" borderId="1" xfId="0" applyFont="1" applyBorder="1" applyAlignment="1" applyProtection="1">
      <alignment horizontal="left" vertical="top"/>
    </xf>
    <xf numFmtId="0" fontId="32" fillId="0" borderId="40" xfId="0" applyFont="1" applyFill="1" applyBorder="1" applyAlignment="1" applyProtection="1">
      <alignment horizontal="left" vertical="top" wrapText="1"/>
    </xf>
    <xf numFmtId="10" fontId="0" fillId="10" borderId="33" xfId="0" applyNumberFormat="1" applyFill="1" applyBorder="1" applyAlignment="1" applyProtection="1">
      <alignment horizontal="center" vertical="center"/>
    </xf>
    <xf numFmtId="0" fontId="32" fillId="0" borderId="4" xfId="0" applyFont="1" applyFill="1" applyBorder="1" applyAlignment="1" applyProtection="1">
      <alignment horizontal="center" vertical="top"/>
    </xf>
    <xf numFmtId="0" fontId="32" fillId="0" borderId="4" xfId="0" applyFont="1" applyFill="1" applyBorder="1" applyAlignment="1" applyProtection="1">
      <alignment horizontal="left" vertical="top"/>
    </xf>
    <xf numFmtId="0" fontId="41" fillId="0" borderId="33" xfId="1" applyNumberFormat="1" applyFont="1" applyFill="1" applyBorder="1" applyAlignment="1" applyProtection="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vertical="center" wrapText="1"/>
    </xf>
    <xf numFmtId="1" fontId="41" fillId="10" borderId="7" xfId="1" applyNumberFormat="1" applyFont="1" applyFill="1" applyBorder="1" applyAlignment="1" applyProtection="1">
      <alignment horizontal="center" vertical="center"/>
    </xf>
    <xf numFmtId="0" fontId="41" fillId="12" borderId="7" xfId="1" applyNumberFormat="1" applyFont="1" applyFill="1" applyBorder="1" applyAlignment="1" applyProtection="1">
      <alignment horizontal="center" vertical="center"/>
      <protection locked="0"/>
    </xf>
    <xf numFmtId="0" fontId="2" fillId="0" borderId="35" xfId="0" applyFont="1" applyBorder="1" applyAlignment="1">
      <alignment vertical="top"/>
    </xf>
    <xf numFmtId="0" fontId="2" fillId="0" borderId="28" xfId="0" applyFont="1" applyBorder="1" applyAlignment="1">
      <alignment vertical="top"/>
    </xf>
    <xf numFmtId="0" fontId="0" fillId="12" borderId="18" xfId="0" applyFill="1" applyBorder="1" applyAlignment="1" applyProtection="1">
      <alignment horizontal="center" vertical="center"/>
      <protection locked="0"/>
    </xf>
    <xf numFmtId="0" fontId="2" fillId="0" borderId="22" xfId="0" applyFont="1" applyBorder="1" applyProtection="1"/>
    <xf numFmtId="0" fontId="0" fillId="0" borderId="0" xfId="0" applyAlignment="1">
      <alignment horizontal="center" vertical="top" wrapText="1"/>
    </xf>
    <xf numFmtId="0" fontId="0" fillId="0" borderId="34" xfId="0" applyFill="1" applyBorder="1" applyProtection="1"/>
    <xf numFmtId="2" fontId="0" fillId="0" borderId="33" xfId="0" applyNumberFormat="1" applyFill="1" applyBorder="1" applyAlignment="1" applyProtection="1">
      <alignment horizontal="center"/>
    </xf>
    <xf numFmtId="0" fontId="46" fillId="0" borderId="4" xfId="0" applyFont="1" applyBorder="1" applyAlignment="1">
      <alignment horizontal="center" vertical="top"/>
    </xf>
    <xf numFmtId="0" fontId="46" fillId="0" borderId="26" xfId="0" applyFont="1" applyBorder="1" applyProtection="1"/>
    <xf numFmtId="0" fontId="46" fillId="0" borderId="34" xfId="0" applyFont="1" applyBorder="1" applyProtection="1"/>
    <xf numFmtId="0" fontId="46" fillId="0" borderId="18" xfId="0" applyFont="1" applyBorder="1" applyProtection="1"/>
    <xf numFmtId="0" fontId="2" fillId="0" borderId="1" xfId="0" applyFont="1" applyBorder="1" applyAlignment="1">
      <alignment horizontal="left" vertical="top" wrapText="1"/>
    </xf>
    <xf numFmtId="0" fontId="49" fillId="0" borderId="1" xfId="0" applyFont="1" applyBorder="1" applyAlignment="1">
      <alignment horizontal="center" vertical="center"/>
    </xf>
    <xf numFmtId="0" fontId="0" fillId="0" borderId="0" xfId="0" applyAlignment="1"/>
    <xf numFmtId="0" fontId="38" fillId="0" borderId="1"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0" fillId="0" borderId="21" xfId="0" applyBorder="1" applyProtection="1"/>
    <xf numFmtId="0" fontId="46" fillId="0" borderId="1" xfId="0" applyFont="1" applyBorder="1" applyAlignment="1" applyProtection="1">
      <alignment horizontal="left" vertical="center" wrapText="1"/>
    </xf>
    <xf numFmtId="0" fontId="54" fillId="0" borderId="0" xfId="0" applyFont="1" applyProtection="1"/>
    <xf numFmtId="0" fontId="2" fillId="0" borderId="0" xfId="0" applyFont="1" applyBorder="1" applyAlignment="1" applyProtection="1">
      <alignment horizontal="center" vertical="top" wrapText="1"/>
    </xf>
    <xf numFmtId="0" fontId="6" fillId="0" borderId="0" xfId="0" applyFont="1" applyBorder="1" applyAlignment="1" applyProtection="1">
      <alignment horizontal="left" vertical="top" wrapText="1"/>
    </xf>
    <xf numFmtId="2" fontId="6" fillId="0" borderId="61" xfId="0" applyNumberFormat="1" applyFont="1" applyFill="1" applyBorder="1" applyAlignment="1" applyProtection="1">
      <alignment horizontal="center" vertical="center"/>
    </xf>
    <xf numFmtId="2" fontId="6" fillId="0" borderId="37" xfId="0" applyNumberFormat="1" applyFont="1" applyFill="1" applyBorder="1" applyAlignment="1" applyProtection="1">
      <alignment horizontal="center" vertical="center"/>
    </xf>
    <xf numFmtId="0" fontId="2" fillId="0" borderId="1" xfId="0" applyFont="1" applyBorder="1" applyAlignment="1" applyProtection="1">
      <alignment horizontal="center" vertical="top" wrapText="1"/>
    </xf>
    <xf numFmtId="2" fontId="6" fillId="0" borderId="34" xfId="0" applyNumberFormat="1" applyFont="1" applyFill="1" applyBorder="1" applyAlignment="1" applyProtection="1">
      <alignment horizontal="center" vertical="center"/>
    </xf>
    <xf numFmtId="2" fontId="6" fillId="12" borderId="5"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top"/>
    </xf>
    <xf numFmtId="2" fontId="45" fillId="0" borderId="34" xfId="0" applyNumberFormat="1" applyFont="1" applyFill="1" applyBorder="1" applyAlignment="1" applyProtection="1">
      <alignment horizontal="center" vertical="center"/>
    </xf>
    <xf numFmtId="0" fontId="2" fillId="0" borderId="1" xfId="0" applyFont="1" applyFill="1" applyBorder="1" applyAlignment="1" applyProtection="1">
      <alignment vertical="top" wrapText="1"/>
    </xf>
    <xf numFmtId="0" fontId="6" fillId="0" borderId="4" xfId="0" applyFont="1" applyBorder="1" applyAlignment="1" applyProtection="1">
      <alignment horizontal="center" vertical="top" wrapText="1"/>
    </xf>
    <xf numFmtId="0" fontId="6" fillId="0" borderId="47" xfId="0" applyFont="1" applyFill="1" applyBorder="1" applyAlignment="1" applyProtection="1"/>
    <xf numFmtId="0" fontId="6" fillId="0" borderId="50" xfId="0" applyFont="1" applyFill="1" applyBorder="1" applyAlignment="1" applyProtection="1"/>
    <xf numFmtId="2" fontId="6" fillId="0" borderId="33" xfId="0" applyNumberFormat="1" applyFont="1" applyFill="1" applyBorder="1" applyAlignment="1" applyProtection="1">
      <alignment horizontal="center" vertical="center"/>
      <protection locked="0"/>
    </xf>
    <xf numFmtId="2" fontId="6" fillId="0" borderId="33" xfId="0" applyNumberFormat="1" applyFont="1" applyFill="1" applyBorder="1" applyAlignment="1" applyProtection="1">
      <alignment horizontal="center" vertical="center"/>
    </xf>
    <xf numFmtId="0" fontId="6"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32" xfId="0" applyFont="1" applyBorder="1" applyAlignment="1" applyProtection="1">
      <alignment horizontal="left" vertical="top" wrapText="1"/>
    </xf>
    <xf numFmtId="0" fontId="6" fillId="0" borderId="18" xfId="0" applyNumberFormat="1"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0" fillId="0" borderId="25" xfId="0" applyBorder="1"/>
    <xf numFmtId="0" fontId="2" fillId="0" borderId="0" xfId="0" applyFont="1" applyFill="1" applyBorder="1" applyAlignment="1" applyProtection="1">
      <alignment vertical="top" wrapText="1"/>
    </xf>
    <xf numFmtId="0" fontId="2" fillId="0" borderId="17" xfId="0" applyFont="1" applyFill="1" applyBorder="1" applyAlignment="1" applyProtection="1">
      <alignment horizontal="center" vertical="top" wrapText="1"/>
    </xf>
    <xf numFmtId="0" fontId="2" fillId="0" borderId="3" xfId="0" applyFont="1" applyFill="1" applyBorder="1" applyAlignment="1" applyProtection="1">
      <alignment horizontal="left" vertical="top" wrapText="1"/>
    </xf>
    <xf numFmtId="2" fontId="6" fillId="0" borderId="5" xfId="0" applyNumberFormat="1" applyFont="1" applyFill="1" applyBorder="1" applyAlignment="1" applyProtection="1">
      <alignment horizontal="center" vertical="center"/>
    </xf>
    <xf numFmtId="0" fontId="2" fillId="0" borderId="0"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2" fillId="0" borderId="1" xfId="0" applyFont="1" applyBorder="1" applyAlignment="1" applyProtection="1">
      <alignment horizontal="center" vertical="center" wrapText="1"/>
    </xf>
    <xf numFmtId="0" fontId="9" fillId="10" borderId="1" xfId="0" applyFont="1" applyFill="1" applyBorder="1" applyAlignment="1" applyProtection="1">
      <alignment horizontal="left" vertical="top" wrapText="1"/>
    </xf>
    <xf numFmtId="0" fontId="11" fillId="10" borderId="1" xfId="0" applyFont="1" applyFill="1" applyBorder="1" applyAlignment="1" applyProtection="1">
      <alignment horizontal="left" vertical="top" wrapText="1"/>
    </xf>
    <xf numFmtId="2" fontId="43" fillId="10" borderId="7" xfId="0" applyNumberFormat="1" applyFont="1" applyFill="1" applyBorder="1" applyAlignment="1" applyProtection="1">
      <alignment horizontal="center" vertical="center" wrapText="1"/>
    </xf>
    <xf numFmtId="2" fontId="0" fillId="10" borderId="1" xfId="0" applyNumberFormat="1" applyFill="1" applyBorder="1" applyAlignment="1" applyProtection="1">
      <alignment horizontal="center" vertical="center"/>
    </xf>
    <xf numFmtId="0" fontId="0" fillId="10" borderId="1" xfId="0" applyFill="1" applyBorder="1" applyAlignment="1" applyProtection="1">
      <alignment horizontal="center" vertical="top" wrapText="1"/>
    </xf>
    <xf numFmtId="0" fontId="0" fillId="0" borderId="0" xfId="0" applyFill="1" applyProtection="1">
      <protection locked="0"/>
    </xf>
    <xf numFmtId="0" fontId="7" fillId="0" borderId="52"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9" fillId="10" borderId="1" xfId="0" applyFont="1" applyFill="1" applyBorder="1" applyAlignment="1" applyProtection="1">
      <alignment horizontal="left" vertical="center" wrapText="1"/>
    </xf>
    <xf numFmtId="0" fontId="7" fillId="10" borderId="1" xfId="0" applyFont="1" applyFill="1" applyBorder="1" applyAlignment="1" applyProtection="1">
      <alignment horizontal="center" vertical="center" wrapText="1"/>
    </xf>
    <xf numFmtId="0" fontId="0" fillId="0" borderId="0" xfId="0" applyAlignment="1"/>
    <xf numFmtId="0" fontId="46" fillId="0" borderId="1" xfId="0" applyFont="1" applyBorder="1" applyAlignment="1" applyProtection="1">
      <alignment horizontal="left" vertical="top"/>
    </xf>
    <xf numFmtId="0" fontId="38" fillId="0" borderId="23" xfId="0" applyFont="1" applyBorder="1" applyAlignment="1" applyProtection="1">
      <alignment horizontal="center" vertical="center" wrapText="1"/>
    </xf>
    <xf numFmtId="2" fontId="46" fillId="0" borderId="25" xfId="0" applyNumberFormat="1" applyFont="1" applyBorder="1" applyAlignment="1" applyProtection="1">
      <alignment horizontal="center" vertical="center"/>
    </xf>
    <xf numFmtId="0" fontId="0" fillId="0" borderId="1" xfId="0" applyFont="1" applyBorder="1" applyAlignment="1" applyProtection="1">
      <alignment horizontal="center" vertical="center"/>
    </xf>
    <xf numFmtId="0" fontId="10" fillId="0" borderId="0" xfId="0" applyFont="1" applyAlignment="1" applyProtection="1">
      <alignment vertical="top"/>
      <protection locked="0"/>
    </xf>
    <xf numFmtId="2" fontId="2" fillId="0" borderId="3" xfId="0" applyNumberFormat="1" applyFont="1" applyBorder="1" applyAlignment="1" applyProtection="1">
      <alignment horizontal="center" vertical="center" wrapText="1"/>
    </xf>
    <xf numFmtId="2" fontId="2" fillId="0" borderId="1" xfId="0" applyNumberFormat="1" applyFont="1" applyBorder="1" applyAlignment="1" applyProtection="1">
      <alignment horizontal="center" vertical="center" wrapText="1"/>
    </xf>
    <xf numFmtId="2" fontId="2" fillId="10" borderId="1" xfId="0" applyNumberFormat="1"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32" fillId="0" borderId="1" xfId="0" applyFont="1" applyFill="1" applyBorder="1" applyAlignment="1" applyProtection="1">
      <alignment horizontal="center" vertical="center" wrapText="1"/>
    </xf>
    <xf numFmtId="0" fontId="11" fillId="0" borderId="1" xfId="0" applyFont="1" applyBorder="1" applyAlignment="1">
      <alignment horizontal="center" vertical="top" wrapText="1"/>
    </xf>
    <xf numFmtId="0" fontId="0" fillId="0" borderId="1" xfId="0" applyBorder="1" applyAlignment="1">
      <alignment horizontal="center" vertical="center" wrapText="1"/>
    </xf>
    <xf numFmtId="0" fontId="46" fillId="0" borderId="1" xfId="0" applyFont="1" applyBorder="1" applyAlignment="1">
      <alignment horizontal="left" vertical="center"/>
    </xf>
    <xf numFmtId="0" fontId="2" fillId="0" borderId="1" xfId="0" applyFont="1" applyBorder="1" applyAlignment="1">
      <alignment horizontal="left" vertical="top" wrapText="1"/>
    </xf>
    <xf numFmtId="0" fontId="5" fillId="0" borderId="0" xfId="0" applyFont="1" applyAlignment="1">
      <alignment horizontal="left" vertical="top"/>
    </xf>
    <xf numFmtId="0" fontId="13" fillId="0" borderId="0" xfId="0" applyFont="1" applyAlignment="1">
      <alignment vertical="top"/>
    </xf>
    <xf numFmtId="0" fontId="5" fillId="0" borderId="0" xfId="0" applyFont="1" applyFill="1" applyBorder="1" applyAlignment="1">
      <alignment horizontal="justify" vertical="top" wrapText="1"/>
    </xf>
    <xf numFmtId="0" fontId="11" fillId="0" borderId="0" xfId="0" applyFont="1" applyBorder="1" applyAlignment="1">
      <alignment horizontal="justify" vertical="top" wrapText="1"/>
    </xf>
    <xf numFmtId="0" fontId="11" fillId="0" borderId="0" xfId="0" applyFont="1" applyFill="1" applyBorder="1" applyAlignment="1">
      <alignment horizontal="justify" vertical="top" wrapText="1"/>
    </xf>
    <xf numFmtId="0" fontId="4" fillId="0" borderId="4" xfId="0" applyFont="1" applyBorder="1" applyAlignment="1">
      <alignment horizontal="center" vertical="top" wrapText="1"/>
    </xf>
    <xf numFmtId="0" fontId="4" fillId="0" borderId="4" xfId="0" applyFont="1" applyBorder="1" applyAlignment="1">
      <alignment vertical="top" wrapText="1"/>
    </xf>
    <xf numFmtId="0" fontId="4" fillId="0" borderId="10" xfId="0" applyFont="1" applyBorder="1" applyAlignment="1">
      <alignment vertical="top" wrapText="1"/>
    </xf>
    <xf numFmtId="0" fontId="0" fillId="0" borderId="0" xfId="0" applyBorder="1" applyAlignment="1">
      <alignment horizontal="center"/>
    </xf>
    <xf numFmtId="0" fontId="6" fillId="0" borderId="1" xfId="0" applyFont="1" applyBorder="1" applyAlignment="1">
      <alignment horizontal="left" vertical="top" wrapText="1"/>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7" xfId="0" applyFont="1" applyBorder="1" applyAlignment="1">
      <alignment horizontal="center" vertical="top" wrapText="1"/>
    </xf>
    <xf numFmtId="0" fontId="2" fillId="10" borderId="3" xfId="0" applyFont="1" applyFill="1" applyBorder="1" applyAlignment="1">
      <alignment horizontal="center" vertical="center" wrapText="1"/>
    </xf>
    <xf numFmtId="0" fontId="2" fillId="10" borderId="3" xfId="0" applyFont="1" applyFill="1" applyBorder="1" applyAlignment="1">
      <alignment horizontal="justify" vertical="center" wrapText="1"/>
    </xf>
    <xf numFmtId="0" fontId="2" fillId="10" borderId="3" xfId="0" applyFont="1" applyFill="1" applyBorder="1" applyAlignment="1">
      <alignment horizontal="justify" vertical="top" wrapText="1"/>
    </xf>
    <xf numFmtId="0" fontId="2" fillId="10" borderId="18" xfId="0" applyFont="1" applyFill="1" applyBorder="1" applyAlignment="1">
      <alignment horizontal="justify" vertical="top" wrapText="1"/>
    </xf>
    <xf numFmtId="0" fontId="46" fillId="0" borderId="0" xfId="0" applyFont="1"/>
    <xf numFmtId="0" fontId="59" fillId="0" borderId="0" xfId="0" applyFont="1"/>
    <xf numFmtId="0" fontId="59" fillId="0" borderId="0" xfId="0" applyFont="1" applyFill="1"/>
    <xf numFmtId="0" fontId="2" fillId="0" borderId="9" xfId="0" applyFont="1" applyBorder="1" applyAlignment="1" applyProtection="1">
      <alignment horizontal="left" vertical="top" wrapText="1"/>
      <protection locked="0"/>
    </xf>
    <xf numFmtId="0" fontId="9" fillId="10" borderId="3" xfId="0" applyFont="1" applyFill="1" applyBorder="1" applyAlignment="1">
      <alignment horizontal="left" vertical="top" wrapText="1"/>
    </xf>
    <xf numFmtId="0" fontId="9" fillId="10" borderId="1" xfId="0" applyFont="1" applyFill="1" applyBorder="1" applyAlignment="1">
      <alignment horizontal="left" vertical="top" wrapText="1"/>
    </xf>
    <xf numFmtId="0" fontId="2" fillId="0" borderId="9" xfId="0" applyFont="1" applyBorder="1" applyAlignment="1">
      <alignment vertical="top" wrapText="1"/>
    </xf>
    <xf numFmtId="0" fontId="4" fillId="10" borderId="1" xfId="0" applyFont="1" applyFill="1" applyBorder="1" applyAlignment="1" applyProtection="1">
      <alignment horizontal="center" vertical="center" wrapText="1"/>
    </xf>
    <xf numFmtId="2" fontId="4" fillId="10" borderId="1" xfId="0" applyNumberFormat="1" applyFont="1" applyFill="1" applyBorder="1" applyAlignment="1" applyProtection="1">
      <alignment horizontal="center" vertical="center" wrapText="1"/>
    </xf>
    <xf numFmtId="0" fontId="2" fillId="10" borderId="1" xfId="0" applyFont="1" applyFill="1" applyBorder="1" applyAlignment="1" applyProtection="1">
      <alignment horizontal="justify" vertical="top" wrapText="1"/>
    </xf>
    <xf numFmtId="0" fontId="2" fillId="10" borderId="7" xfId="0" applyFont="1" applyFill="1" applyBorder="1" applyAlignment="1" applyProtection="1">
      <alignment horizontal="left" wrapText="1"/>
    </xf>
    <xf numFmtId="0" fontId="14" fillId="0" borderId="1" xfId="0" applyFont="1" applyBorder="1" applyAlignment="1">
      <alignment horizontal="center"/>
    </xf>
    <xf numFmtId="2" fontId="0" fillId="0" borderId="0" xfId="0" applyNumberFormat="1" applyFill="1" applyBorder="1" applyAlignment="1">
      <alignment horizontal="center"/>
    </xf>
    <xf numFmtId="0" fontId="46" fillId="10" borderId="1" xfId="0" applyFont="1" applyFill="1" applyBorder="1"/>
    <xf numFmtId="2" fontId="2" fillId="0" borderId="1" xfId="0" applyNumberFormat="1" applyFont="1" applyBorder="1" applyAlignment="1" applyProtection="1">
      <alignment horizontal="left" vertical="top" wrapText="1"/>
      <protection locked="0"/>
    </xf>
    <xf numFmtId="0" fontId="2" fillId="0" borderId="1" xfId="0" applyFont="1" applyBorder="1" applyAlignment="1">
      <alignment horizontal="left" vertical="top" wrapText="1"/>
    </xf>
    <xf numFmtId="0" fontId="15" fillId="0" borderId="1" xfId="0" applyFont="1" applyBorder="1" applyAlignment="1">
      <alignment horizontal="center" vertical="center" wrapText="1"/>
    </xf>
    <xf numFmtId="0" fontId="14" fillId="0" borderId="0" xfId="0" applyFont="1" applyBorder="1" applyAlignment="1">
      <alignment vertical="top" wrapText="1"/>
    </xf>
    <xf numFmtId="2" fontId="46" fillId="0" borderId="1" xfId="0" applyNumberFormat="1" applyFont="1" applyBorder="1" applyAlignment="1">
      <alignment horizontal="center" vertical="center"/>
    </xf>
    <xf numFmtId="0" fontId="46" fillId="10" borderId="1" xfId="0" applyFont="1" applyFill="1" applyBorder="1" applyAlignment="1">
      <alignment horizontal="center" vertical="center"/>
    </xf>
    <xf numFmtId="0" fontId="2" fillId="10" borderId="1" xfId="0" applyFont="1" applyFill="1" applyBorder="1" applyAlignment="1">
      <alignment horizontal="center" vertical="center" wrapText="1"/>
    </xf>
    <xf numFmtId="1" fontId="46" fillId="0" borderId="1" xfId="0" applyNumberFormat="1" applyFont="1" applyBorder="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Protection="1">
      <protection locked="0"/>
    </xf>
    <xf numFmtId="49" fontId="0" fillId="0" borderId="0" xfId="0" applyNumberFormat="1" applyFont="1" applyBorder="1" applyProtection="1">
      <protection locked="0"/>
    </xf>
    <xf numFmtId="49" fontId="0" fillId="0" borderId="0" xfId="0" applyNumberFormat="1" applyFont="1" applyAlignment="1" applyProtection="1">
      <alignment vertical="center"/>
      <protection locked="0"/>
    </xf>
    <xf numFmtId="49" fontId="43" fillId="0" borderId="0" xfId="0" applyNumberFormat="1" applyFont="1" applyAlignment="1" applyProtection="1">
      <alignment vertical="top"/>
      <protection locked="0"/>
    </xf>
    <xf numFmtId="49" fontId="43" fillId="0" borderId="0" xfId="0" applyNumberFormat="1" applyFont="1" applyAlignment="1" applyProtection="1">
      <alignment vertical="center"/>
      <protection locked="0"/>
    </xf>
    <xf numFmtId="49" fontId="60" fillId="0" borderId="0" xfId="0" applyNumberFormat="1" applyFont="1" applyBorder="1" applyAlignment="1" applyProtection="1">
      <alignment vertical="top" wrapText="1"/>
      <protection locked="0"/>
    </xf>
    <xf numFmtId="49" fontId="43" fillId="0" borderId="0" xfId="0" applyNumberFormat="1" applyFont="1" applyBorder="1" applyAlignment="1" applyProtection="1">
      <alignment horizontal="center" vertical="center" wrapText="1"/>
      <protection locked="0"/>
    </xf>
    <xf numFmtId="49" fontId="43" fillId="0" borderId="0" xfId="0" applyNumberFormat="1" applyFont="1" applyBorder="1" applyAlignment="1" applyProtection="1">
      <alignment vertical="center" wrapText="1"/>
      <protection locked="0"/>
    </xf>
    <xf numFmtId="49" fontId="43" fillId="0" borderId="0" xfId="0" applyNumberFormat="1" applyFont="1" applyBorder="1" applyAlignment="1" applyProtection="1">
      <alignment vertical="top" wrapText="1"/>
      <protection locked="0"/>
    </xf>
    <xf numFmtId="49" fontId="43" fillId="0" borderId="0" xfId="0" applyNumberFormat="1" applyFont="1" applyAlignment="1" applyProtection="1">
      <alignment horizontal="justify"/>
      <protection locked="0"/>
    </xf>
    <xf numFmtId="0" fontId="15" fillId="0" borderId="23" xfId="0" applyFont="1" applyFill="1" applyBorder="1" applyAlignment="1"/>
    <xf numFmtId="0" fontId="15" fillId="0" borderId="30" xfId="0" applyFont="1" applyFill="1" applyBorder="1" applyAlignment="1"/>
    <xf numFmtId="0" fontId="15" fillId="0" borderId="28" xfId="0" applyFont="1" applyFill="1" applyBorder="1" applyAlignment="1"/>
    <xf numFmtId="0" fontId="0" fillId="0" borderId="23" xfId="0" applyBorder="1" applyAlignment="1"/>
    <xf numFmtId="0" fontId="0" fillId="0" borderId="30" xfId="0" applyBorder="1" applyAlignment="1"/>
    <xf numFmtId="0" fontId="0" fillId="0" borderId="28" xfId="0" applyBorder="1" applyAlignment="1"/>
    <xf numFmtId="0" fontId="14" fillId="0" borderId="23" xfId="0" applyFont="1" applyBorder="1" applyAlignment="1"/>
    <xf numFmtId="0" fontId="14" fillId="0" borderId="30" xfId="0" applyFont="1" applyBorder="1" applyAlignment="1"/>
    <xf numFmtId="0" fontId="14" fillId="0" borderId="28" xfId="0" applyFont="1" applyBorder="1" applyAlignment="1"/>
    <xf numFmtId="0" fontId="42" fillId="0" borderId="23" xfId="0" applyFont="1" applyFill="1" applyBorder="1" applyAlignment="1">
      <alignment vertical="top"/>
    </xf>
    <xf numFmtId="0" fontId="42" fillId="0" borderId="30" xfId="0" applyFont="1" applyFill="1" applyBorder="1" applyAlignment="1">
      <alignment vertical="top"/>
    </xf>
    <xf numFmtId="0" fontId="42" fillId="0" borderId="28" xfId="0" applyFont="1" applyFill="1" applyBorder="1" applyAlignment="1">
      <alignment vertical="top"/>
    </xf>
    <xf numFmtId="0" fontId="30" fillId="0" borderId="23" xfId="0" applyFont="1" applyBorder="1" applyAlignment="1"/>
    <xf numFmtId="0" fontId="30" fillId="0" borderId="30" xfId="0" applyFont="1" applyBorder="1" applyAlignment="1"/>
    <xf numFmtId="0" fontId="30" fillId="0" borderId="28" xfId="0" applyFont="1" applyBorder="1" applyAlignment="1"/>
    <xf numFmtId="0" fontId="14" fillId="0" borderId="28" xfId="0" applyFont="1" applyBorder="1" applyAlignment="1">
      <alignment vertical="top" wrapText="1"/>
    </xf>
    <xf numFmtId="0" fontId="36" fillId="5" borderId="0" xfId="0" applyFont="1" applyFill="1" applyAlignment="1">
      <alignment horizontal="left" vertical="center"/>
    </xf>
    <xf numFmtId="0" fontId="2" fillId="0" borderId="1" xfId="0" applyFont="1" applyBorder="1" applyAlignment="1">
      <alignment horizontal="left" vertical="top" wrapText="1"/>
    </xf>
    <xf numFmtId="0" fontId="5" fillId="0" borderId="0" xfId="0" applyFont="1" applyAlignment="1" applyProtection="1">
      <alignment vertical="top" wrapText="1"/>
      <protection locked="0"/>
    </xf>
    <xf numFmtId="0" fontId="0" fillId="0" borderId="0" xfId="0" applyAlignment="1" applyProtection="1">
      <alignment vertical="top" wrapText="1"/>
      <protection locked="0"/>
    </xf>
    <xf numFmtId="49" fontId="5" fillId="0" borderId="0" xfId="0" applyNumberFormat="1" applyFont="1" applyAlignment="1" applyProtection="1">
      <alignment vertical="top" wrapText="1"/>
      <protection locked="0"/>
    </xf>
    <xf numFmtId="49" fontId="0" fillId="0" borderId="0" xfId="0" applyNumberFormat="1" applyProtection="1">
      <protection locked="0"/>
    </xf>
    <xf numFmtId="49" fontId="5" fillId="0" borderId="0" xfId="0" applyNumberFormat="1" applyFont="1" applyAlignment="1" applyProtection="1">
      <alignment horizontal="left" vertical="top" wrapText="1"/>
      <protection locked="0"/>
    </xf>
    <xf numFmtId="0" fontId="2" fillId="0" borderId="1" xfId="0" applyFont="1" applyBorder="1" applyAlignment="1">
      <alignment horizontal="left" vertical="top" wrapText="1"/>
    </xf>
    <xf numFmtId="0" fontId="4" fillId="0" borderId="0" xfId="0" applyFont="1" applyAlignment="1" applyProtection="1">
      <alignment horizontal="left" vertical="top"/>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top"/>
      <protection locked="0"/>
    </xf>
    <xf numFmtId="49" fontId="5" fillId="0" borderId="0" xfId="0" applyNumberFormat="1" applyFont="1" applyAlignment="1" applyProtection="1">
      <alignment horizontal="center" vertical="top" wrapText="1"/>
      <protection locked="0"/>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center" wrapText="1"/>
    </xf>
    <xf numFmtId="0" fontId="6" fillId="7" borderId="0" xfId="0" applyFont="1" applyFill="1" applyBorder="1" applyAlignment="1" applyProtection="1">
      <alignment vertical="top"/>
    </xf>
    <xf numFmtId="0" fontId="6" fillId="0" borderId="0" xfId="0" applyFont="1" applyAlignment="1" applyProtection="1">
      <alignment vertical="top"/>
    </xf>
    <xf numFmtId="0" fontId="0" fillId="0" borderId="0" xfId="0" applyAlignment="1" applyProtection="1">
      <alignment horizontal="left"/>
    </xf>
    <xf numFmtId="0" fontId="0" fillId="0" borderId="0" xfId="0" applyAlignment="1" applyProtection="1">
      <alignment horizontal="left" vertical="top"/>
    </xf>
    <xf numFmtId="0" fontId="0" fillId="0" borderId="37" xfId="0" applyFill="1" applyBorder="1" applyAlignment="1" applyProtection="1">
      <alignment horizontal="center" vertical="center"/>
    </xf>
    <xf numFmtId="49" fontId="4" fillId="0" borderId="0" xfId="0" applyNumberFormat="1" applyFont="1" applyAlignment="1" applyProtection="1">
      <alignment horizontal="center"/>
      <protection locked="0"/>
    </xf>
    <xf numFmtId="49" fontId="0" fillId="0" borderId="0" xfId="0" applyNumberFormat="1" applyAlignment="1" applyProtection="1">
      <alignment horizontal="center"/>
      <protection locked="0"/>
    </xf>
    <xf numFmtId="0" fontId="4" fillId="0" borderId="0" xfId="0" applyFont="1" applyAlignment="1" applyProtection="1">
      <alignment vertical="top"/>
      <protection locked="0"/>
    </xf>
    <xf numFmtId="0" fontId="0" fillId="0" borderId="0" xfId="0" applyAlignment="1" applyProtection="1">
      <alignment vertical="top"/>
      <protection locked="0"/>
    </xf>
    <xf numFmtId="0" fontId="5" fillId="0" borderId="0" xfId="0" applyFont="1" applyAlignment="1" applyProtection="1">
      <alignment vertical="top"/>
      <protection locked="0"/>
    </xf>
    <xf numFmtId="49" fontId="4" fillId="0" borderId="0" xfId="0" applyNumberFormat="1" applyFont="1" applyAlignment="1" applyProtection="1">
      <alignment horizontal="center" vertical="top" wrapText="1"/>
      <protection locked="0"/>
    </xf>
    <xf numFmtId="0" fontId="43" fillId="0" borderId="0" xfId="0" applyFont="1" applyAlignment="1" applyProtection="1">
      <alignment vertical="top"/>
      <protection locked="0"/>
    </xf>
    <xf numFmtId="49" fontId="4" fillId="0" borderId="0" xfId="0" applyNumberFormat="1" applyFont="1" applyAlignment="1" applyProtection="1">
      <alignment horizontal="center" vertical="top"/>
      <protection locked="0"/>
    </xf>
    <xf numFmtId="49" fontId="5" fillId="0" borderId="0" xfId="0" applyNumberFormat="1" applyFont="1" applyAlignment="1" applyProtection="1">
      <alignment horizontal="center"/>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49" fontId="0" fillId="0" borderId="0" xfId="0" applyNumberFormat="1" applyAlignment="1" applyProtection="1">
      <alignment horizontal="center" vertical="center"/>
      <protection locked="0"/>
    </xf>
    <xf numFmtId="49" fontId="0" fillId="0" borderId="0" xfId="0" applyNumberFormat="1" applyAlignment="1" applyProtection="1">
      <alignment vertical="center"/>
      <protection locked="0"/>
    </xf>
    <xf numFmtId="0" fontId="5" fillId="0" borderId="0" xfId="0" applyFont="1" applyAlignment="1" applyProtection="1">
      <alignment horizontal="left"/>
      <protection locked="0"/>
    </xf>
    <xf numFmtId="0" fontId="0" fillId="0" borderId="0" xfId="0" applyAlignment="1" applyProtection="1">
      <alignment horizontal="left" vertical="top"/>
      <protection locked="0"/>
    </xf>
    <xf numFmtId="0" fontId="0" fillId="0" borderId="0" xfId="0" applyBorder="1" applyAlignment="1" applyProtection="1">
      <alignment horizontal="center"/>
      <protection locked="0"/>
    </xf>
    <xf numFmtId="0" fontId="5" fillId="0" borderId="0" xfId="0" applyFont="1" applyAlignment="1" applyProtection="1">
      <alignment vertical="center" wrapText="1"/>
      <protection locked="0"/>
    </xf>
    <xf numFmtId="0" fontId="4" fillId="0" borderId="0" xfId="0" applyFont="1" applyAlignment="1" applyProtection="1">
      <alignment horizontal="left" vertical="top" wrapText="1"/>
    </xf>
    <xf numFmtId="0" fontId="4" fillId="3" borderId="0" xfId="0" applyFont="1" applyFill="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1" xfId="0" applyFont="1" applyBorder="1" applyAlignment="1">
      <alignment horizontal="left" vertical="top" wrapText="1"/>
    </xf>
    <xf numFmtId="0" fontId="2" fillId="0" borderId="31" xfId="0" applyFont="1" applyFill="1" applyBorder="1" applyAlignment="1" applyProtection="1">
      <alignment horizontal="center" vertical="top" wrapText="1"/>
    </xf>
    <xf numFmtId="0" fontId="63" fillId="5" borderId="0" xfId="0" applyFont="1" applyFill="1"/>
    <xf numFmtId="0" fontId="4" fillId="0" borderId="0" xfId="0" applyFont="1" applyAlignment="1" applyProtection="1">
      <alignment horizontal="left" vertical="top"/>
      <protection locked="0"/>
    </xf>
    <xf numFmtId="0" fontId="9" fillId="0" borderId="1" xfId="0" applyFont="1" applyBorder="1" applyAlignment="1">
      <alignment horizontal="center" vertical="center" wrapText="1"/>
    </xf>
    <xf numFmtId="0" fontId="0" fillId="0" borderId="0" xfId="0" applyAlignment="1"/>
    <xf numFmtId="0" fontId="2" fillId="0" borderId="1" xfId="0" applyFont="1" applyFill="1" applyBorder="1" applyAlignment="1">
      <alignment horizontal="left" vertical="top" wrapText="1"/>
    </xf>
    <xf numFmtId="49" fontId="4" fillId="0" borderId="0" xfId="0" applyNumberFormat="1" applyFont="1" applyAlignment="1" applyProtection="1">
      <alignment horizontal="left" vertical="top" wrapText="1"/>
      <protection locked="0"/>
    </xf>
    <xf numFmtId="0" fontId="22" fillId="0" borderId="0" xfId="0" applyFont="1" applyAlignment="1" applyProtection="1">
      <alignment wrapText="1"/>
      <protection locked="0"/>
    </xf>
    <xf numFmtId="0" fontId="0" fillId="0" borderId="0" xfId="0" applyAlignment="1" applyProtection="1">
      <alignment wrapText="1"/>
      <protection locked="0"/>
    </xf>
    <xf numFmtId="0" fontId="4" fillId="0" borderId="0" xfId="0" applyFont="1" applyAlignment="1" applyProtection="1">
      <alignment vertical="top" wrapText="1"/>
      <protection locked="0"/>
    </xf>
    <xf numFmtId="0" fontId="54" fillId="0" borderId="1" xfId="0" applyFont="1" applyBorder="1" applyAlignment="1" applyProtection="1">
      <alignment horizontal="left" vertical="top" wrapText="1"/>
    </xf>
    <xf numFmtId="49" fontId="4" fillId="0" borderId="0" xfId="0" applyNumberFormat="1" applyFont="1" applyAlignment="1" applyProtection="1">
      <alignment horizontal="justify"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center" wrapText="1"/>
      <protection locked="0"/>
    </xf>
    <xf numFmtId="0" fontId="5" fillId="0" borderId="0" xfId="0" applyFont="1" applyBorder="1" applyAlignment="1" applyProtection="1">
      <alignment horizontal="left" wrapText="1"/>
      <protection locked="0"/>
    </xf>
    <xf numFmtId="0" fontId="0" fillId="0" borderId="0" xfId="0" applyBorder="1" applyAlignment="1" applyProtection="1">
      <alignment horizontal="center" vertical="center" wrapText="1"/>
      <protection locked="0"/>
    </xf>
    <xf numFmtId="0" fontId="5" fillId="0" borderId="0" xfId="0" applyFont="1" applyAlignment="1" applyProtection="1">
      <alignment wrapText="1"/>
      <protection locked="0"/>
    </xf>
    <xf numFmtId="0" fontId="5" fillId="0" borderId="0" xfId="0" applyFont="1" applyAlignment="1" applyProtection="1">
      <alignment horizontal="justify" wrapText="1"/>
      <protection locked="0"/>
    </xf>
    <xf numFmtId="0" fontId="0" fillId="0" borderId="0" xfId="0" applyAlignment="1" applyProtection="1">
      <alignment horizontal="left" wrapText="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Fill="1" applyBorder="1" applyAlignment="1">
      <alignment horizontal="center" wrapText="1"/>
    </xf>
    <xf numFmtId="0" fontId="12" fillId="7" borderId="1" xfId="0" applyFont="1" applyFill="1" applyBorder="1" applyAlignment="1">
      <alignment wrapText="1"/>
    </xf>
    <xf numFmtId="2" fontId="12" fillId="0" borderId="1" xfId="0" applyNumberFormat="1" applyFont="1" applyBorder="1" applyAlignment="1">
      <alignment horizontal="center" wrapText="1"/>
    </xf>
    <xf numFmtId="2" fontId="0" fillId="0" borderId="1" xfId="0" applyNumberFormat="1" applyBorder="1" applyAlignment="1">
      <alignment horizontal="center" wrapText="1"/>
    </xf>
    <xf numFmtId="0" fontId="12" fillId="0" borderId="23" xfId="0" applyFont="1" applyFill="1" applyBorder="1" applyAlignment="1">
      <alignment wrapText="1"/>
    </xf>
    <xf numFmtId="0" fontId="12" fillId="0" borderId="30" xfId="0" applyFont="1" applyFill="1" applyBorder="1" applyAlignment="1">
      <alignment wrapText="1"/>
    </xf>
    <xf numFmtId="0" fontId="15" fillId="0" borderId="28" xfId="0" applyFont="1" applyFill="1" applyBorder="1" applyAlignment="1">
      <alignment wrapText="1"/>
    </xf>
    <xf numFmtId="0" fontId="0" fillId="0" borderId="23" xfId="0" applyFont="1" applyBorder="1" applyAlignment="1">
      <alignment wrapText="1"/>
    </xf>
    <xf numFmtId="0" fontId="0" fillId="0" borderId="30" xfId="0" applyFont="1" applyBorder="1" applyAlignment="1">
      <alignment wrapText="1"/>
    </xf>
    <xf numFmtId="0" fontId="0" fillId="0" borderId="28" xfId="0" applyBorder="1" applyAlignment="1">
      <alignment wrapText="1"/>
    </xf>
    <xf numFmtId="0" fontId="30" fillId="0" borderId="23" xfId="0" applyFont="1" applyBorder="1" applyAlignment="1">
      <alignment wrapText="1"/>
    </xf>
    <xf numFmtId="0" fontId="30" fillId="0" borderId="30" xfId="0" applyFont="1" applyBorder="1" applyAlignment="1">
      <alignment wrapText="1"/>
    </xf>
    <xf numFmtId="0" fontId="14" fillId="0" borderId="28" xfId="0" applyFont="1" applyBorder="1" applyAlignment="1">
      <alignment wrapText="1"/>
    </xf>
    <xf numFmtId="0" fontId="14" fillId="0" borderId="1" xfId="0" applyFont="1" applyBorder="1" applyAlignment="1">
      <alignment horizontal="center" wrapText="1"/>
    </xf>
    <xf numFmtId="0" fontId="0" fillId="0" borderId="0" xfId="0" applyBorder="1" applyAlignment="1">
      <alignment horizontal="left" vertical="center" wrapText="1"/>
    </xf>
    <xf numFmtId="0" fontId="0" fillId="0" borderId="0" xfId="0" applyBorder="1" applyAlignment="1">
      <alignment horizont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vertical="center" wrapText="1"/>
    </xf>
    <xf numFmtId="0" fontId="5" fillId="0" borderId="0" xfId="0" applyFont="1" applyBorder="1" applyAlignment="1" applyProtection="1">
      <alignment vertical="top"/>
      <protection locked="0"/>
    </xf>
    <xf numFmtId="0" fontId="2" fillId="0" borderId="1" xfId="0" applyFont="1" applyBorder="1" applyAlignment="1">
      <alignment horizontal="left" vertical="top" wrapText="1"/>
    </xf>
    <xf numFmtId="0" fontId="2" fillId="0" borderId="0" xfId="0" applyFont="1" applyFill="1" applyBorder="1" applyAlignment="1" applyProtection="1">
      <alignment horizontal="left" vertical="top" wrapText="1"/>
    </xf>
    <xf numFmtId="0" fontId="9" fillId="0" borderId="24" xfId="0" applyFont="1" applyFill="1" applyBorder="1" applyAlignment="1" applyProtection="1">
      <alignment horizontal="right"/>
    </xf>
    <xf numFmtId="0" fontId="9" fillId="0" borderId="57" xfId="0" applyFont="1" applyFill="1" applyBorder="1" applyAlignment="1" applyProtection="1">
      <alignment horizontal="right" vertical="center"/>
    </xf>
    <xf numFmtId="2" fontId="2" fillId="10" borderId="3" xfId="0" applyNumberFormat="1" applyFont="1" applyFill="1" applyBorder="1" applyAlignment="1" applyProtection="1">
      <alignment horizontal="center" vertical="center"/>
    </xf>
    <xf numFmtId="0" fontId="2" fillId="6" borderId="33" xfId="0" applyFont="1" applyFill="1" applyBorder="1" applyAlignment="1" applyProtection="1">
      <alignment horizontal="center" vertical="center"/>
    </xf>
    <xf numFmtId="0" fontId="2" fillId="0" borderId="6" xfId="0" applyFont="1" applyFill="1" applyBorder="1" applyAlignment="1" applyProtection="1">
      <alignment horizontal="left"/>
    </xf>
    <xf numFmtId="0" fontId="2" fillId="0" borderId="8" xfId="0" applyFont="1" applyFill="1" applyBorder="1" applyAlignment="1" applyProtection="1">
      <alignment horizontal="left"/>
    </xf>
    <xf numFmtId="2" fontId="2" fillId="2" borderId="8" xfId="0" applyNumberFormat="1" applyFont="1" applyFill="1" applyBorder="1" applyAlignment="1" applyProtection="1">
      <alignment horizontal="center" vertical="center"/>
      <protection locked="0"/>
    </xf>
    <xf numFmtId="2" fontId="2" fillId="6" borderId="8" xfId="0" applyNumberFormat="1" applyFont="1" applyFill="1" applyBorder="1" applyAlignment="1" applyProtection="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pplyProtection="1">
      <alignment horizontal="left"/>
    </xf>
    <xf numFmtId="2" fontId="2" fillId="2" borderId="9" xfId="0" applyNumberFormat="1" applyFont="1" applyFill="1" applyBorder="1" applyAlignment="1" applyProtection="1">
      <alignment horizontal="center" vertical="center"/>
      <protection locked="0"/>
    </xf>
    <xf numFmtId="2" fontId="2" fillId="6" borderId="9" xfId="0" applyNumberFormat="1" applyFont="1" applyFill="1" applyBorder="1" applyAlignment="1" applyProtection="1">
      <alignment horizontal="center" vertical="center"/>
    </xf>
    <xf numFmtId="0" fontId="2" fillId="6" borderId="20" xfId="0" applyFont="1" applyFill="1" applyBorder="1" applyAlignment="1" applyProtection="1">
      <alignment horizontal="center" vertical="center"/>
    </xf>
    <xf numFmtId="0" fontId="0" fillId="0" borderId="0" xfId="0" applyFill="1" applyAlignment="1" applyProtection="1">
      <alignment horizontal="center" vertical="top"/>
    </xf>
    <xf numFmtId="0" fontId="32" fillId="0" borderId="0" xfId="0" applyFont="1" applyFill="1" applyBorder="1" applyAlignment="1">
      <alignment horizontal="center" vertical="top" wrapText="1"/>
    </xf>
    <xf numFmtId="0" fontId="2" fillId="10" borderId="25" xfId="0" applyFont="1" applyFill="1" applyBorder="1" applyAlignment="1" applyProtection="1">
      <alignment horizontal="center" vertical="center" wrapText="1"/>
    </xf>
    <xf numFmtId="2" fontId="0" fillId="0" borderId="1"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protection locked="0"/>
    </xf>
    <xf numFmtId="0" fontId="0" fillId="0" borderId="1" xfId="0" applyBorder="1" applyProtection="1">
      <protection locked="0"/>
    </xf>
    <xf numFmtId="1" fontId="0" fillId="14" borderId="26" xfId="0" applyNumberFormat="1" applyFill="1" applyBorder="1" applyAlignment="1" applyProtection="1">
      <alignment horizontal="center" vertical="center"/>
    </xf>
    <xf numFmtId="2" fontId="0" fillId="0" borderId="0" xfId="0" applyNumberFormat="1"/>
    <xf numFmtId="0" fontId="64" fillId="0" borderId="0" xfId="0" applyFont="1" applyAlignment="1" applyProtection="1"/>
    <xf numFmtId="0" fontId="58" fillId="0" borderId="0" xfId="0" applyFont="1" applyAlignment="1" applyProtection="1"/>
    <xf numFmtId="0" fontId="58" fillId="0" borderId="0" xfId="0" applyFont="1" applyProtection="1"/>
    <xf numFmtId="0" fontId="66" fillId="0" borderId="0" xfId="0" applyFont="1" applyProtection="1"/>
    <xf numFmtId="0" fontId="67" fillId="0" borderId="0" xfId="0" applyFont="1" applyAlignment="1" applyProtection="1"/>
    <xf numFmtId="0" fontId="58" fillId="0" borderId="19" xfId="0" applyFont="1" applyBorder="1" applyAlignment="1" applyProtection="1"/>
    <xf numFmtId="0" fontId="42" fillId="0" borderId="19" xfId="0" applyFont="1" applyBorder="1" applyAlignment="1" applyProtection="1">
      <alignment horizontal="center"/>
    </xf>
    <xf numFmtId="0" fontId="42" fillId="0" borderId="17" xfId="0" applyFont="1" applyBorder="1" applyAlignment="1" applyProtection="1">
      <alignment horizontal="center" vertical="top"/>
    </xf>
    <xf numFmtId="0" fontId="69" fillId="0" borderId="3" xfId="0" applyFont="1" applyBorder="1" applyAlignment="1" applyProtection="1">
      <alignment horizontal="justify" vertical="top"/>
    </xf>
    <xf numFmtId="2" fontId="0" fillId="0" borderId="57" xfId="0" applyNumberFormat="1" applyFont="1" applyBorder="1" applyAlignment="1" applyProtection="1">
      <alignment horizontal="center"/>
    </xf>
    <xf numFmtId="0" fontId="0" fillId="0" borderId="19" xfId="0" applyFont="1" applyBorder="1" applyProtection="1"/>
    <xf numFmtId="0" fontId="0" fillId="0" borderId="0" xfId="0" applyFont="1" applyBorder="1" applyProtection="1"/>
    <xf numFmtId="0" fontId="42" fillId="0" borderId="4" xfId="0" applyFont="1" applyBorder="1" applyAlignment="1" applyProtection="1">
      <alignment horizontal="center" vertical="top"/>
    </xf>
    <xf numFmtId="0" fontId="70" fillId="0" borderId="1" xfId="0" applyFont="1" applyBorder="1" applyAlignment="1" applyProtection="1">
      <alignment vertical="top"/>
    </xf>
    <xf numFmtId="0" fontId="0" fillId="0" borderId="23" xfId="0" applyFont="1" applyBorder="1" applyAlignment="1" applyProtection="1">
      <alignment horizontal="center"/>
    </xf>
    <xf numFmtId="2" fontId="0" fillId="0" borderId="23" xfId="0" applyNumberFormat="1" applyFont="1" applyBorder="1" applyAlignment="1" applyProtection="1">
      <alignment horizontal="center"/>
    </xf>
    <xf numFmtId="0" fontId="0" fillId="0" borderId="10" xfId="0" applyFont="1" applyBorder="1" applyProtection="1"/>
    <xf numFmtId="0" fontId="42" fillId="0" borderId="9" xfId="0" applyFont="1" applyBorder="1" applyAlignment="1" applyProtection="1">
      <alignment horizontal="center"/>
    </xf>
    <xf numFmtId="2" fontId="71" fillId="0" borderId="24" xfId="0" applyNumberFormat="1" applyFont="1" applyBorder="1" applyAlignment="1" applyProtection="1">
      <alignment horizontal="center"/>
    </xf>
    <xf numFmtId="0" fontId="7" fillId="0" borderId="17" xfId="0" applyFont="1" applyBorder="1" applyAlignment="1" applyProtection="1">
      <alignment horizontal="center" vertical="top" wrapText="1"/>
    </xf>
    <xf numFmtId="0" fontId="42" fillId="0" borderId="4" xfId="0" applyFont="1" applyBorder="1" applyProtection="1"/>
    <xf numFmtId="0" fontId="7" fillId="0" borderId="4" xfId="0" applyFont="1" applyBorder="1" applyAlignment="1" applyProtection="1">
      <alignment horizontal="center" vertical="top" wrapText="1"/>
    </xf>
    <xf numFmtId="0" fontId="42" fillId="0" borderId="9" xfId="0" applyFont="1" applyFill="1" applyBorder="1" applyAlignment="1" applyProtection="1">
      <alignment horizontal="center"/>
    </xf>
    <xf numFmtId="0" fontId="70" fillId="0" borderId="0" xfId="0" applyFont="1" applyBorder="1" applyAlignment="1" applyProtection="1">
      <alignment horizontal="center" vertical="top"/>
    </xf>
    <xf numFmtId="0" fontId="70" fillId="0" borderId="19" xfId="0" applyFont="1" applyBorder="1" applyAlignment="1" applyProtection="1">
      <alignment vertical="center"/>
    </xf>
    <xf numFmtId="0" fontId="68" fillId="0" borderId="0" xfId="0" applyFont="1" applyProtection="1"/>
    <xf numFmtId="0" fontId="42" fillId="0" borderId="0" xfId="0" applyFont="1" applyBorder="1" applyAlignment="1" applyProtection="1">
      <alignment vertical="top" wrapText="1"/>
    </xf>
    <xf numFmtId="0" fontId="68" fillId="0" borderId="19" xfId="0" applyFont="1" applyBorder="1" applyAlignment="1" applyProtection="1">
      <alignment horizontal="center" wrapText="1"/>
    </xf>
    <xf numFmtId="0" fontId="64" fillId="0" borderId="0" xfId="0" applyFont="1" applyBorder="1" applyAlignment="1" applyProtection="1">
      <alignment horizontal="right" wrapText="1"/>
    </xf>
    <xf numFmtId="2" fontId="74" fillId="0" borderId="47" xfId="0" applyNumberFormat="1" applyFont="1" applyBorder="1" applyAlignment="1" applyProtection="1">
      <alignment horizontal="center" wrapText="1"/>
    </xf>
    <xf numFmtId="0" fontId="70" fillId="0" borderId="19" xfId="0" applyFont="1" applyBorder="1" applyAlignment="1" applyProtection="1">
      <alignment horizontal="center" wrapText="1"/>
    </xf>
    <xf numFmtId="0" fontId="70" fillId="0" borderId="0" xfId="0" applyFont="1" applyBorder="1" applyAlignment="1" applyProtection="1">
      <alignment vertical="top" wrapText="1"/>
    </xf>
    <xf numFmtId="0" fontId="70" fillId="0" borderId="0" xfId="0" applyFont="1" applyBorder="1" applyAlignment="1" applyProtection="1">
      <alignment horizontal="center" wrapText="1"/>
    </xf>
    <xf numFmtId="0" fontId="70" fillId="0" borderId="0" xfId="0" applyFont="1" applyBorder="1" applyAlignment="1" applyProtection="1">
      <alignment wrapText="1"/>
    </xf>
    <xf numFmtId="0" fontId="70" fillId="0" borderId="0" xfId="0" applyFont="1" applyBorder="1" applyAlignment="1" applyProtection="1">
      <alignment horizontal="left" vertical="top" wrapText="1"/>
    </xf>
    <xf numFmtId="0" fontId="68" fillId="0" borderId="0" xfId="0" applyFont="1" applyAlignment="1" applyProtection="1">
      <alignment horizontal="right"/>
    </xf>
    <xf numFmtId="0" fontId="42" fillId="0" borderId="0" xfId="0" applyFont="1" applyProtection="1"/>
    <xf numFmtId="0" fontId="64" fillId="0" borderId="0" xfId="0" applyFont="1" applyProtection="1"/>
    <xf numFmtId="0" fontId="65" fillId="0" borderId="0" xfId="0" applyFont="1" applyAlignment="1" applyProtection="1">
      <alignment horizontal="left"/>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4" fillId="0" borderId="0" xfId="0" applyFont="1" applyAlignment="1" applyProtection="1">
      <alignment vertical="center" wrapText="1"/>
    </xf>
    <xf numFmtId="0" fontId="0" fillId="0" borderId="0" xfId="0" applyAlignment="1" applyProtection="1">
      <alignment horizontal="center" vertical="center" wrapText="1"/>
    </xf>
    <xf numFmtId="0" fontId="36" fillId="5" borderId="0" xfId="0" applyFont="1" applyFill="1" applyAlignment="1">
      <alignment horizontal="center" wrapText="1"/>
    </xf>
    <xf numFmtId="0" fontId="37" fillId="5" borderId="0" xfId="0" applyFont="1" applyFill="1" applyAlignment="1">
      <alignment horizontal="center"/>
    </xf>
    <xf numFmtId="0" fontId="36" fillId="5" borderId="0" xfId="0" applyFont="1" applyFill="1" applyAlignment="1">
      <alignment horizontal="left" vertical="top"/>
    </xf>
    <xf numFmtId="0" fontId="61" fillId="5" borderId="0" xfId="0" applyFont="1" applyFill="1" applyAlignment="1">
      <alignment horizontal="left" vertical="top"/>
    </xf>
    <xf numFmtId="0" fontId="8" fillId="0" borderId="0" xfId="0" applyFont="1" applyAlignment="1" applyProtection="1">
      <alignment horizontal="center" vertical="center"/>
    </xf>
    <xf numFmtId="0" fontId="24" fillId="0" borderId="0" xfId="0" applyFont="1" applyAlignment="1" applyProtection="1">
      <alignment horizontal="center"/>
    </xf>
    <xf numFmtId="0" fontId="4" fillId="0" borderId="0" xfId="0" applyFont="1" applyAlignment="1" applyProtection="1">
      <alignment horizontal="left" vertical="top"/>
      <protection locked="0"/>
    </xf>
    <xf numFmtId="0" fontId="5" fillId="0" borderId="0" xfId="0" applyFont="1" applyAlignment="1">
      <alignment horizontal="center" vertical="center" wrapText="1"/>
    </xf>
    <xf numFmtId="0" fontId="4" fillId="0" borderId="0" xfId="0" applyFont="1" applyAlignment="1" applyProtection="1">
      <alignment horizontal="left" vertical="top"/>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54" xfId="0" applyFont="1" applyFill="1" applyBorder="1" applyAlignment="1" applyProtection="1">
      <alignment horizontal="left" vertical="top" wrapText="1"/>
      <protection locked="0"/>
    </xf>
    <xf numFmtId="0" fontId="2" fillId="2" borderId="55" xfId="0" applyFont="1" applyFill="1" applyBorder="1" applyAlignment="1" applyProtection="1">
      <alignment horizontal="left" vertical="top" wrapText="1"/>
      <protection locked="0"/>
    </xf>
    <xf numFmtId="0" fontId="2" fillId="2" borderId="56" xfId="0" applyFont="1" applyFill="1" applyBorder="1" applyAlignment="1" applyProtection="1">
      <alignment horizontal="left" vertical="top" wrapText="1"/>
      <protection locked="0"/>
    </xf>
    <xf numFmtId="0" fontId="2" fillId="14" borderId="43" xfId="0" applyFont="1" applyFill="1" applyBorder="1" applyAlignment="1" applyProtection="1">
      <alignment horizontal="left" vertical="top" wrapText="1"/>
    </xf>
    <xf numFmtId="0" fontId="2" fillId="14" borderId="44" xfId="0" applyFont="1" applyFill="1" applyBorder="1" applyAlignment="1" applyProtection="1">
      <alignment horizontal="left" vertical="top" wrapText="1"/>
    </xf>
    <xf numFmtId="0" fontId="2" fillId="14" borderId="42" xfId="0" applyFont="1" applyFill="1" applyBorder="1" applyAlignment="1" applyProtection="1">
      <alignment horizontal="left" vertical="top" wrapText="1"/>
    </xf>
    <xf numFmtId="0" fontId="2" fillId="2" borderId="36" xfId="0" applyFont="1" applyFill="1" applyBorder="1" applyAlignment="1" applyProtection="1">
      <alignment horizontal="left" vertical="top" wrapText="1"/>
      <protection locked="0"/>
    </xf>
    <xf numFmtId="0" fontId="6" fillId="2" borderId="64" xfId="0" applyFont="1" applyFill="1" applyBorder="1" applyAlignment="1" applyProtection="1">
      <alignment horizontal="left" vertical="top" wrapText="1"/>
      <protection locked="0"/>
    </xf>
    <xf numFmtId="0" fontId="6" fillId="2" borderId="61" xfId="0" applyFont="1" applyFill="1" applyBorder="1" applyAlignment="1" applyProtection="1">
      <alignment horizontal="left" vertical="top" wrapText="1"/>
      <protection locked="0"/>
    </xf>
    <xf numFmtId="0" fontId="6" fillId="2" borderId="54" xfId="0" applyFont="1" applyFill="1" applyBorder="1" applyAlignment="1" applyProtection="1">
      <alignment horizontal="left" vertical="top" wrapText="1"/>
      <protection locked="0"/>
    </xf>
    <xf numFmtId="0" fontId="6" fillId="2" borderId="55" xfId="0" applyFont="1" applyFill="1" applyBorder="1" applyAlignment="1" applyProtection="1">
      <alignment horizontal="left" vertical="top" wrapText="1"/>
      <protection locked="0"/>
    </xf>
    <xf numFmtId="0" fontId="6" fillId="2" borderId="56" xfId="0" applyFont="1" applyFill="1" applyBorder="1" applyAlignment="1" applyProtection="1">
      <alignment horizontal="left" vertical="top" wrapText="1"/>
      <protection locked="0"/>
    </xf>
    <xf numFmtId="0" fontId="2" fillId="14" borderId="45" xfId="0" applyFont="1" applyFill="1" applyBorder="1" applyAlignment="1" applyProtection="1">
      <alignment horizontal="left" vertical="top" wrapText="1"/>
    </xf>
    <xf numFmtId="0" fontId="2" fillId="14" borderId="53" xfId="0" applyFont="1" applyFill="1" applyBorder="1" applyAlignment="1" applyProtection="1">
      <alignment horizontal="left" vertical="top" wrapText="1"/>
    </xf>
    <xf numFmtId="0" fontId="2" fillId="14" borderId="63" xfId="0" applyFont="1" applyFill="1" applyBorder="1" applyAlignment="1" applyProtection="1">
      <alignment horizontal="left" vertical="top" wrapText="1"/>
    </xf>
    <xf numFmtId="0" fontId="2" fillId="2" borderId="19"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34" xfId="0" applyFont="1" applyFill="1" applyBorder="1" applyAlignment="1" applyProtection="1">
      <alignment horizontal="left" vertical="top" wrapText="1"/>
      <protection locked="0"/>
    </xf>
    <xf numFmtId="0" fontId="2" fillId="14" borderId="11" xfId="0" applyFont="1" applyFill="1" applyBorder="1" applyAlignment="1" applyProtection="1">
      <alignment horizontal="left" vertical="top" wrapText="1"/>
    </xf>
    <xf numFmtId="0" fontId="2" fillId="14" borderId="12" xfId="0" applyFont="1" applyFill="1" applyBorder="1" applyAlignment="1" applyProtection="1">
      <alignment horizontal="left" vertical="top" wrapText="1"/>
    </xf>
    <xf numFmtId="0" fontId="2" fillId="14" borderId="13" xfId="0" applyFont="1" applyFill="1" applyBorder="1" applyAlignment="1" applyProtection="1">
      <alignment horizontal="left" vertical="top" wrapText="1"/>
    </xf>
    <xf numFmtId="0" fontId="2" fillId="14" borderId="19" xfId="0" applyFont="1" applyFill="1" applyBorder="1" applyAlignment="1" applyProtection="1">
      <alignment horizontal="left" vertical="top" wrapText="1"/>
    </xf>
    <xf numFmtId="0" fontId="2" fillId="14" borderId="0" xfId="0" applyFont="1" applyFill="1" applyBorder="1" applyAlignment="1" applyProtection="1">
      <alignment horizontal="left" vertical="top" wrapText="1"/>
    </xf>
    <xf numFmtId="0" fontId="2" fillId="14" borderId="34" xfId="0" applyFont="1" applyFill="1" applyBorder="1" applyAlignment="1" applyProtection="1">
      <alignment horizontal="left" vertical="top" wrapText="1"/>
    </xf>
    <xf numFmtId="0" fontId="2" fillId="14" borderId="54" xfId="0" applyFont="1" applyFill="1" applyBorder="1" applyAlignment="1" applyProtection="1">
      <alignment horizontal="left" vertical="top" wrapText="1"/>
    </xf>
    <xf numFmtId="0" fontId="2" fillId="14" borderId="55" xfId="0" applyFont="1" applyFill="1" applyBorder="1" applyAlignment="1" applyProtection="1">
      <alignment horizontal="left" vertical="top" wrapText="1"/>
    </xf>
    <xf numFmtId="0" fontId="2" fillId="14" borderId="56" xfId="0" applyFont="1" applyFill="1" applyBorder="1" applyAlignment="1" applyProtection="1">
      <alignment horizontal="left" vertical="top" wrapText="1"/>
    </xf>
    <xf numFmtId="0" fontId="6" fillId="2"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2" fillId="2" borderId="43"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6" fillId="2" borderId="42" xfId="0" applyFont="1" applyFill="1" applyBorder="1" applyAlignment="1" applyProtection="1">
      <alignment horizontal="left" vertical="top" wrapText="1"/>
      <protection locked="0"/>
    </xf>
    <xf numFmtId="0" fontId="2" fillId="0" borderId="45" xfId="0" applyFont="1" applyBorder="1" applyAlignment="1">
      <alignment horizontal="left" vertical="center" wrapText="1"/>
    </xf>
    <xf numFmtId="0" fontId="11" fillId="0" borderId="46" xfId="0" applyFont="1" applyBorder="1" applyAlignment="1">
      <alignment horizontal="left" vertical="center" wrapText="1"/>
    </xf>
    <xf numFmtId="0" fontId="2" fillId="0" borderId="45" xfId="0" applyFont="1" applyBorder="1" applyAlignment="1">
      <alignment horizontal="left" vertical="top" wrapText="1"/>
    </xf>
    <xf numFmtId="0" fontId="6" fillId="0" borderId="46" xfId="0" applyFont="1" applyBorder="1" applyAlignment="1">
      <alignment horizontal="left" vertical="top" wrapText="1"/>
    </xf>
    <xf numFmtId="0" fontId="2" fillId="0" borderId="35" xfId="0" applyFont="1" applyFill="1" applyBorder="1" applyAlignment="1" applyProtection="1">
      <alignment horizontal="left" vertical="top" wrapText="1"/>
    </xf>
    <xf numFmtId="0" fontId="2" fillId="0" borderId="28" xfId="0" applyFont="1" applyFill="1" applyBorder="1" applyAlignment="1" applyProtection="1">
      <alignment horizontal="left" vertical="top" wrapText="1"/>
    </xf>
    <xf numFmtId="0" fontId="2" fillId="0" borderId="6"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0" xfId="0" applyFont="1" applyBorder="1" applyAlignment="1" applyProtection="1">
      <alignment horizontal="left"/>
    </xf>
    <xf numFmtId="0" fontId="6" fillId="0" borderId="9" xfId="0" applyFont="1" applyBorder="1" applyAlignment="1" applyProtection="1">
      <alignment horizontal="left"/>
    </xf>
    <xf numFmtId="0" fontId="6" fillId="0" borderId="47" xfId="0" applyFont="1" applyBorder="1" applyAlignment="1" applyProtection="1">
      <alignment horizontal="left"/>
    </xf>
    <xf numFmtId="0" fontId="6" fillId="0" borderId="50" xfId="0" applyFont="1" applyBorder="1" applyAlignment="1" applyProtection="1">
      <alignment horizontal="left"/>
    </xf>
    <xf numFmtId="0" fontId="6" fillId="0" borderId="10" xfId="0" applyFont="1" applyBorder="1" applyAlignment="1">
      <alignment horizontal="left"/>
    </xf>
    <xf numFmtId="0" fontId="6" fillId="0" borderId="9" xfId="0" applyFont="1" applyBorder="1" applyAlignment="1">
      <alignment horizontal="left"/>
    </xf>
    <xf numFmtId="0" fontId="2"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2" fillId="0" borderId="4" xfId="0" applyFont="1" applyBorder="1" applyAlignment="1">
      <alignment horizontal="left" vertical="top" wrapText="1"/>
    </xf>
    <xf numFmtId="0" fontId="6" fillId="0" borderId="1" xfId="0" applyFont="1" applyBorder="1" applyAlignment="1">
      <alignment horizontal="left" vertical="top" wrapText="1"/>
    </xf>
    <xf numFmtId="0" fontId="32" fillId="0" borderId="6" xfId="0" applyFont="1" applyBorder="1" applyAlignment="1">
      <alignment horizontal="left" vertical="top" wrapText="1"/>
    </xf>
    <xf numFmtId="0" fontId="32" fillId="0" borderId="8" xfId="0" applyFont="1" applyBorder="1" applyAlignment="1">
      <alignment horizontal="left" vertical="top" wrapText="1"/>
    </xf>
    <xf numFmtId="0" fontId="2" fillId="12" borderId="11" xfId="0" applyFont="1" applyFill="1" applyBorder="1" applyAlignment="1" applyProtection="1">
      <alignment horizontal="left" vertical="top" wrapText="1"/>
      <protection locked="0"/>
    </xf>
    <xf numFmtId="0" fontId="2" fillId="12" borderId="12" xfId="0" applyFont="1" applyFill="1" applyBorder="1" applyAlignment="1" applyProtection="1">
      <alignment horizontal="left" vertical="top" wrapText="1"/>
      <protection locked="0"/>
    </xf>
    <xf numFmtId="0" fontId="2" fillId="12" borderId="13" xfId="0" applyFont="1" applyFill="1" applyBorder="1" applyAlignment="1" applyProtection="1">
      <alignment horizontal="left" vertical="top" wrapText="1"/>
      <protection locked="0"/>
    </xf>
    <xf numFmtId="0" fontId="2" fillId="12" borderId="54" xfId="0" applyFont="1" applyFill="1" applyBorder="1" applyAlignment="1" applyProtection="1">
      <alignment horizontal="left" vertical="top" wrapText="1"/>
      <protection locked="0"/>
    </xf>
    <xf numFmtId="0" fontId="2" fillId="12" borderId="55" xfId="0" applyFont="1" applyFill="1" applyBorder="1" applyAlignment="1" applyProtection="1">
      <alignment horizontal="left" vertical="top" wrapText="1"/>
      <protection locked="0"/>
    </xf>
    <xf numFmtId="0" fontId="2" fillId="12" borderId="56" xfId="0" applyFont="1" applyFill="1" applyBorder="1" applyAlignment="1" applyProtection="1">
      <alignment horizontal="left" vertical="top" wrapText="1"/>
      <protection locked="0"/>
    </xf>
    <xf numFmtId="0" fontId="46" fillId="0" borderId="45" xfId="0" applyFont="1" applyBorder="1" applyAlignment="1">
      <alignment horizontal="left" vertical="center"/>
    </xf>
    <xf numFmtId="0" fontId="46" fillId="0" borderId="46" xfId="0" applyFont="1" applyBorder="1" applyAlignment="1">
      <alignment horizontal="left" vertical="center"/>
    </xf>
    <xf numFmtId="0" fontId="46" fillId="0" borderId="47" xfId="0" applyFont="1" applyBorder="1" applyAlignment="1">
      <alignment horizontal="left" vertical="top"/>
    </xf>
    <xf numFmtId="0" fontId="46" fillId="0" borderId="50" xfId="0" applyFont="1" applyBorder="1" applyAlignment="1">
      <alignment horizontal="left" vertical="top"/>
    </xf>
    <xf numFmtId="0" fontId="2" fillId="0" borderId="46" xfId="0" applyFont="1" applyBorder="1" applyAlignment="1">
      <alignment horizontal="left" vertical="top" wrapText="1"/>
    </xf>
    <xf numFmtId="0" fontId="2"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47" xfId="0" applyFont="1" applyFill="1" applyBorder="1" applyAlignment="1" applyProtection="1">
      <alignment horizontal="left"/>
    </xf>
    <xf numFmtId="0" fontId="6" fillId="0" borderId="50" xfId="0" applyFont="1" applyFill="1" applyBorder="1" applyAlignment="1" applyProtection="1">
      <alignment horizontal="left"/>
    </xf>
    <xf numFmtId="0" fontId="2"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10" xfId="0" applyFont="1" applyFill="1" applyBorder="1" applyAlignment="1" applyProtection="1">
      <alignment horizontal="left"/>
    </xf>
    <xf numFmtId="0" fontId="6" fillId="0" borderId="9" xfId="0" applyFont="1" applyFill="1" applyBorder="1" applyAlignment="1" applyProtection="1">
      <alignment horizontal="left"/>
    </xf>
    <xf numFmtId="0" fontId="6" fillId="0" borderId="47" xfId="0" applyFont="1" applyFill="1" applyBorder="1" applyAlignment="1" applyProtection="1">
      <alignment horizontal="left" vertical="center"/>
    </xf>
    <xf numFmtId="0" fontId="6" fillId="0" borderId="50" xfId="0" applyFont="1" applyFill="1" applyBorder="1" applyAlignment="1" applyProtection="1">
      <alignment horizontal="left" vertical="center"/>
    </xf>
    <xf numFmtId="0" fontId="2" fillId="2" borderId="44"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6" fillId="0" borderId="46" xfId="0" applyFont="1" applyBorder="1" applyAlignment="1">
      <alignment horizontal="left" vertical="center" wrapText="1"/>
    </xf>
    <xf numFmtId="0" fontId="6" fillId="0" borderId="47" xfId="0" applyFont="1" applyBorder="1" applyAlignment="1">
      <alignment horizontal="left"/>
    </xf>
    <xf numFmtId="0" fontId="6" fillId="0" borderId="50" xfId="0" applyFont="1" applyBorder="1" applyAlignment="1">
      <alignment horizontal="left"/>
    </xf>
    <xf numFmtId="0" fontId="2" fillId="2" borderId="43" xfId="0" applyFont="1" applyFill="1" applyBorder="1" applyAlignment="1" applyProtection="1">
      <alignment horizontal="center" vertical="top" wrapText="1"/>
      <protection locked="0"/>
    </xf>
    <xf numFmtId="0" fontId="2" fillId="2" borderId="44" xfId="0" applyFont="1" applyFill="1" applyBorder="1" applyAlignment="1" applyProtection="1">
      <alignment horizontal="center" vertical="top" wrapText="1"/>
      <protection locked="0"/>
    </xf>
    <xf numFmtId="0" fontId="2" fillId="2" borderId="42" xfId="0" applyFont="1" applyFill="1" applyBorder="1" applyAlignment="1" applyProtection="1">
      <alignment horizontal="center" vertical="top" wrapText="1"/>
      <protection locked="0"/>
    </xf>
    <xf numFmtId="0" fontId="6" fillId="14" borderId="44" xfId="0" applyFont="1" applyFill="1" applyBorder="1" applyAlignment="1" applyProtection="1">
      <alignment horizontal="left" vertical="top" wrapText="1"/>
    </xf>
    <xf numFmtId="0" fontId="6" fillId="14" borderId="42" xfId="0" applyFont="1" applyFill="1" applyBorder="1" applyAlignment="1" applyProtection="1">
      <alignment horizontal="left" vertical="top" wrapText="1"/>
    </xf>
    <xf numFmtId="0" fontId="2" fillId="10" borderId="43" xfId="0" applyFont="1" applyFill="1" applyBorder="1" applyAlignment="1" applyProtection="1">
      <alignment horizontal="left" vertical="top" wrapText="1"/>
    </xf>
    <xf numFmtId="0" fontId="6" fillId="10" borderId="44" xfId="0" applyFont="1" applyFill="1" applyBorder="1" applyAlignment="1" applyProtection="1">
      <alignment horizontal="left" vertical="top" wrapText="1"/>
    </xf>
    <xf numFmtId="0" fontId="6" fillId="10" borderId="42" xfId="0" applyFont="1" applyFill="1" applyBorder="1" applyAlignment="1" applyProtection="1">
      <alignment horizontal="left" vertical="top" wrapText="1"/>
    </xf>
    <xf numFmtId="0" fontId="2" fillId="0" borderId="10" xfId="0" applyFont="1" applyBorder="1" applyAlignment="1" applyProtection="1">
      <alignment horizontal="left"/>
    </xf>
    <xf numFmtId="0" fontId="6" fillId="0" borderId="47" xfId="0" applyFont="1" applyFill="1" applyBorder="1" applyAlignment="1" applyProtection="1">
      <alignment horizontal="left" vertical="top"/>
    </xf>
    <xf numFmtId="0" fontId="6" fillId="0" borderId="50" xfId="0" applyFont="1" applyFill="1" applyBorder="1" applyAlignment="1" applyProtection="1">
      <alignment horizontal="left" vertical="top"/>
    </xf>
    <xf numFmtId="0" fontId="2" fillId="0" borderId="23" xfId="0" applyFont="1" applyBorder="1" applyAlignment="1" applyProtection="1">
      <alignment horizontal="left" vertical="center"/>
    </xf>
    <xf numFmtId="0" fontId="2" fillId="0" borderId="28" xfId="0" applyFont="1" applyBorder="1" applyAlignment="1" applyProtection="1">
      <alignment horizontal="left" vertical="center"/>
    </xf>
    <xf numFmtId="0" fontId="0" fillId="0" borderId="0" xfId="0" applyBorder="1" applyAlignment="1">
      <alignment horizontal="center"/>
    </xf>
    <xf numFmtId="0" fontId="2" fillId="10" borderId="44" xfId="0" applyFont="1" applyFill="1" applyBorder="1" applyAlignment="1" applyProtection="1">
      <alignment horizontal="left" vertical="top" wrapText="1"/>
    </xf>
    <xf numFmtId="0" fontId="2" fillId="10" borderId="42"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xf>
    <xf numFmtId="0" fontId="2" fillId="12" borderId="43" xfId="0" applyFont="1" applyFill="1" applyBorder="1" applyAlignment="1" applyProtection="1">
      <alignment horizontal="left" vertical="top" wrapText="1"/>
      <protection locked="0"/>
    </xf>
    <xf numFmtId="0" fontId="2" fillId="12" borderId="44" xfId="0" applyFont="1" applyFill="1" applyBorder="1" applyAlignment="1" applyProtection="1">
      <alignment horizontal="left" vertical="top" wrapText="1"/>
      <protection locked="0"/>
    </xf>
    <xf numFmtId="0" fontId="2" fillId="12" borderId="42" xfId="0" applyFont="1" applyFill="1" applyBorder="1" applyAlignment="1" applyProtection="1">
      <alignment horizontal="left" vertical="top" wrapText="1"/>
      <protection locked="0"/>
    </xf>
    <xf numFmtId="0" fontId="2" fillId="0" borderId="4" xfId="0" applyFont="1" applyBorder="1" applyAlignment="1" applyProtection="1"/>
    <xf numFmtId="0" fontId="6" fillId="0" borderId="1" xfId="0" applyFont="1" applyBorder="1" applyAlignment="1" applyProtection="1"/>
    <xf numFmtId="0" fontId="6" fillId="0" borderId="10" xfId="0" applyFont="1" applyBorder="1" applyAlignment="1" applyProtection="1"/>
    <xf numFmtId="0" fontId="6" fillId="0" borderId="9" xfId="0" applyFont="1" applyBorder="1" applyAlignment="1" applyProtection="1"/>
    <xf numFmtId="0" fontId="6" fillId="12" borderId="12" xfId="0" applyFont="1" applyFill="1" applyBorder="1" applyAlignment="1" applyProtection="1">
      <alignment horizontal="left" vertical="top" wrapText="1"/>
      <protection locked="0"/>
    </xf>
    <xf numFmtId="0" fontId="6" fillId="12" borderId="13" xfId="0" applyFont="1" applyFill="1" applyBorder="1" applyAlignment="1" applyProtection="1">
      <alignment horizontal="left" vertical="top" wrapText="1"/>
      <protection locked="0"/>
    </xf>
    <xf numFmtId="0" fontId="6" fillId="12" borderId="19" xfId="0" applyFont="1" applyFill="1" applyBorder="1" applyAlignment="1" applyProtection="1">
      <alignment horizontal="left" vertical="top" wrapText="1"/>
      <protection locked="0"/>
    </xf>
    <xf numFmtId="0" fontId="6" fillId="12" borderId="0" xfId="0" applyFont="1" applyFill="1" applyBorder="1" applyAlignment="1" applyProtection="1">
      <alignment horizontal="left" vertical="top" wrapText="1"/>
      <protection locked="0"/>
    </xf>
    <xf numFmtId="0" fontId="6" fillId="12" borderId="34" xfId="0" applyFont="1" applyFill="1" applyBorder="1" applyAlignment="1" applyProtection="1">
      <alignment horizontal="left" vertical="top" wrapText="1"/>
      <protection locked="0"/>
    </xf>
    <xf numFmtId="0" fontId="6" fillId="12" borderId="54" xfId="0" applyFont="1" applyFill="1" applyBorder="1" applyAlignment="1" applyProtection="1">
      <alignment horizontal="left" vertical="top" wrapText="1"/>
      <protection locked="0"/>
    </xf>
    <xf numFmtId="0" fontId="6" fillId="12" borderId="55" xfId="0" applyFont="1" applyFill="1" applyBorder="1" applyAlignment="1" applyProtection="1">
      <alignment horizontal="left" vertical="top" wrapText="1"/>
      <protection locked="0"/>
    </xf>
    <xf numFmtId="0" fontId="6" fillId="12" borderId="56" xfId="0" applyFont="1" applyFill="1" applyBorder="1" applyAlignment="1" applyProtection="1">
      <alignment horizontal="left" vertical="top" wrapText="1"/>
      <protection locked="0"/>
    </xf>
    <xf numFmtId="0" fontId="11" fillId="0" borderId="46" xfId="0" applyFont="1" applyBorder="1" applyAlignment="1">
      <alignment horizontal="left" vertical="top" wrapText="1"/>
    </xf>
    <xf numFmtId="0" fontId="2" fillId="0" borderId="46" xfId="0" applyFont="1" applyBorder="1" applyAlignment="1">
      <alignment horizontal="left" vertical="center" wrapText="1"/>
    </xf>
    <xf numFmtId="0" fontId="51" fillId="9" borderId="0" xfId="0" applyFont="1" applyFill="1" applyBorder="1" applyAlignment="1" applyProtection="1">
      <alignment horizontal="center"/>
    </xf>
    <xf numFmtId="0" fontId="52" fillId="9" borderId="0" xfId="0" applyFont="1" applyFill="1" applyBorder="1" applyAlignment="1" applyProtection="1">
      <alignment horizontal="center" vertical="center"/>
    </xf>
    <xf numFmtId="0" fontId="6" fillId="14" borderId="43" xfId="0" applyFont="1" applyFill="1" applyBorder="1" applyAlignment="1" applyProtection="1">
      <alignment horizontal="left" vertical="top" wrapText="1"/>
    </xf>
    <xf numFmtId="0" fontId="2" fillId="0" borderId="45" xfId="0" applyFont="1" applyBorder="1" applyAlignment="1" applyProtection="1">
      <alignment horizontal="left" vertical="top" wrapText="1"/>
    </xf>
    <xf numFmtId="0" fontId="6" fillId="0" borderId="46" xfId="0" applyFont="1" applyBorder="1" applyAlignment="1" applyProtection="1">
      <alignment horizontal="left" vertical="top" wrapText="1"/>
    </xf>
    <xf numFmtId="0" fontId="6" fillId="0" borderId="28"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6" fillId="0" borderId="46" xfId="0" applyFont="1" applyFill="1" applyBorder="1" applyAlignment="1" applyProtection="1">
      <alignment horizontal="left" vertical="top" wrapText="1"/>
    </xf>
    <xf numFmtId="0" fontId="6" fillId="0" borderId="51" xfId="0" applyFont="1" applyFill="1" applyBorder="1" applyAlignment="1" applyProtection="1">
      <alignment horizontal="left"/>
    </xf>
    <xf numFmtId="0" fontId="9" fillId="0" borderId="43"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xf>
    <xf numFmtId="0" fontId="2" fillId="0" borderId="14" xfId="0" applyFont="1" applyBorder="1" applyAlignment="1">
      <alignment horizontal="left" vertical="top" wrapText="1"/>
    </xf>
    <xf numFmtId="0" fontId="6" fillId="0" borderId="15" xfId="0" applyFont="1" applyBorder="1" applyAlignment="1">
      <alignment horizontal="left" vertical="top" wrapText="1"/>
    </xf>
    <xf numFmtId="0" fontId="2" fillId="0" borderId="4"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2" fillId="0" borderId="43" xfId="0" applyFont="1" applyBorder="1" applyAlignment="1">
      <alignment horizontal="left" vertical="top" wrapText="1"/>
    </xf>
    <xf numFmtId="0" fontId="6" fillId="0" borderId="59" xfId="0" applyFont="1" applyBorder="1" applyAlignment="1">
      <alignment horizontal="left" vertical="top" wrapText="1"/>
    </xf>
    <xf numFmtId="0" fontId="6" fillId="0" borderId="46" xfId="0" applyFont="1" applyBorder="1" applyAlignment="1">
      <alignment horizontal="left" vertical="center"/>
    </xf>
    <xf numFmtId="0" fontId="2" fillId="0" borderId="35" xfId="0" applyFont="1" applyBorder="1" applyAlignment="1">
      <alignment horizontal="left" vertical="top" wrapText="1"/>
    </xf>
    <xf numFmtId="0" fontId="2" fillId="0" borderId="28" xfId="0" applyFont="1" applyBorder="1" applyAlignment="1">
      <alignment horizontal="left" vertical="top" wrapText="1"/>
    </xf>
    <xf numFmtId="0" fontId="2" fillId="0" borderId="58" xfId="0" applyFont="1" applyBorder="1" applyAlignment="1">
      <alignment horizontal="left" vertical="top" wrapText="1"/>
    </xf>
    <xf numFmtId="0" fontId="2" fillId="0" borderId="21" xfId="0" applyFont="1" applyBorder="1" applyAlignment="1">
      <alignment horizontal="left" vertical="top" wrapText="1"/>
    </xf>
    <xf numFmtId="0" fontId="2" fillId="0" borderId="57" xfId="0" applyFont="1" applyBorder="1" applyAlignment="1">
      <alignment horizontal="left" vertical="center" wrapText="1"/>
    </xf>
    <xf numFmtId="0" fontId="39" fillId="0" borderId="21" xfId="0" applyFont="1" applyBorder="1" applyAlignment="1">
      <alignment horizontal="left" vertical="center" wrapText="1"/>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 xfId="0" applyFont="1" applyBorder="1" applyAlignment="1">
      <alignment horizontal="left" vertical="top" wrapText="1"/>
    </xf>
    <xf numFmtId="0" fontId="2" fillId="0" borderId="35" xfId="0" applyFont="1" applyBorder="1" applyAlignment="1" applyProtection="1">
      <alignment horizontal="left" vertical="center" wrapText="1"/>
    </xf>
    <xf numFmtId="0" fontId="6" fillId="0" borderId="28" xfId="0" applyFont="1" applyBorder="1" applyAlignment="1" applyProtection="1">
      <alignment horizontal="left" vertical="center" wrapText="1"/>
    </xf>
    <xf numFmtId="0" fontId="2" fillId="0" borderId="35" xfId="0" applyFont="1" applyBorder="1" applyAlignment="1" applyProtection="1">
      <alignment horizontal="left"/>
    </xf>
    <xf numFmtId="0" fontId="6" fillId="0" borderId="28" xfId="0" applyFont="1" applyBorder="1" applyAlignment="1" applyProtection="1">
      <alignment horizontal="left"/>
    </xf>
    <xf numFmtId="0" fontId="6" fillId="0" borderId="28" xfId="0" applyFont="1" applyBorder="1" applyAlignment="1">
      <alignment horizontal="left" vertical="top" wrapText="1"/>
    </xf>
    <xf numFmtId="0" fontId="46" fillId="0" borderId="35" xfId="0" applyFont="1" applyBorder="1" applyAlignment="1">
      <alignment horizontal="left" vertical="top" wrapText="1"/>
    </xf>
    <xf numFmtId="0" fontId="34" fillId="0" borderId="28" xfId="0" applyFont="1" applyBorder="1" applyAlignment="1">
      <alignment horizontal="left" vertical="top" wrapText="1"/>
    </xf>
    <xf numFmtId="0" fontId="6" fillId="12" borderId="44" xfId="0" applyFont="1" applyFill="1" applyBorder="1" applyAlignment="1" applyProtection="1">
      <alignment horizontal="left" vertical="top" wrapText="1"/>
      <protection locked="0"/>
    </xf>
    <xf numFmtId="0" fontId="6" fillId="12" borderId="4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xf>
    <xf numFmtId="0" fontId="6" fillId="0" borderId="4" xfId="0" applyFont="1" applyBorder="1" applyAlignment="1" applyProtection="1">
      <alignment horizontal="left" vertical="top" wrapText="1"/>
    </xf>
    <xf numFmtId="0" fontId="49" fillId="0" borderId="45" xfId="0" applyFont="1" applyBorder="1" applyAlignment="1">
      <alignment horizontal="left" vertical="center"/>
    </xf>
    <xf numFmtId="0" fontId="49" fillId="0" borderId="46" xfId="0" applyFont="1" applyBorder="1" applyAlignment="1">
      <alignment horizontal="left" vertical="center"/>
    </xf>
    <xf numFmtId="0" fontId="47" fillId="11" borderId="11" xfId="0" applyFont="1" applyFill="1" applyBorder="1" applyAlignment="1" applyProtection="1">
      <alignment horizontal="center" vertical="center" wrapText="1"/>
    </xf>
    <xf numFmtId="0" fontId="47" fillId="11" borderId="12" xfId="0" applyFont="1" applyFill="1" applyBorder="1" applyAlignment="1" applyProtection="1">
      <alignment horizontal="center" vertical="center" wrapText="1"/>
    </xf>
    <xf numFmtId="0" fontId="47" fillId="11" borderId="13" xfId="0" applyFont="1" applyFill="1" applyBorder="1" applyAlignment="1" applyProtection="1">
      <alignment horizontal="center" vertical="center" wrapText="1"/>
    </xf>
    <xf numFmtId="0" fontId="2" fillId="0" borderId="35" xfId="0" applyFont="1" applyBorder="1" applyAlignment="1" applyProtection="1">
      <alignment horizontal="left" vertical="top" wrapText="1"/>
    </xf>
    <xf numFmtId="0" fontId="6" fillId="0" borderId="28" xfId="0" applyFont="1" applyBorder="1" applyAlignment="1" applyProtection="1">
      <alignment horizontal="left" vertical="top" wrapText="1"/>
    </xf>
    <xf numFmtId="0" fontId="2" fillId="12" borderId="47" xfId="0" applyFont="1" applyFill="1" applyBorder="1" applyAlignment="1" applyProtection="1">
      <alignment horizontal="left" vertical="top" wrapText="1"/>
      <protection locked="0"/>
    </xf>
    <xf numFmtId="0" fontId="2" fillId="12" borderId="48" xfId="0" applyFont="1" applyFill="1" applyBorder="1" applyAlignment="1" applyProtection="1">
      <alignment horizontal="left" vertical="top" wrapText="1"/>
      <protection locked="0"/>
    </xf>
    <xf numFmtId="0" fontId="2" fillId="12" borderId="49" xfId="0" applyFont="1" applyFill="1" applyBorder="1" applyAlignment="1" applyProtection="1">
      <alignment horizontal="left" vertical="top" wrapText="1"/>
      <protection locked="0"/>
    </xf>
    <xf numFmtId="0" fontId="47" fillId="11" borderId="52" xfId="0" applyFont="1" applyFill="1" applyBorder="1" applyAlignment="1" applyProtection="1">
      <alignment horizontal="center" vertical="center" wrapText="1"/>
    </xf>
    <xf numFmtId="0" fontId="2" fillId="0" borderId="10" xfId="0" applyFont="1" applyBorder="1" applyAlignment="1">
      <alignment horizontal="left"/>
    </xf>
    <xf numFmtId="0" fontId="32" fillId="0" borderId="6" xfId="0" applyFont="1" applyFill="1" applyBorder="1" applyAlignment="1" applyProtection="1">
      <alignment horizontal="left" vertical="top" wrapText="1"/>
    </xf>
    <xf numFmtId="0" fontId="32" fillId="0" borderId="8" xfId="0" applyFont="1" applyFill="1" applyBorder="1" applyAlignment="1" applyProtection="1">
      <alignment horizontal="left" vertical="top" wrapText="1"/>
    </xf>
    <xf numFmtId="0" fontId="32" fillId="0" borderId="45" xfId="0" applyFont="1" applyFill="1" applyBorder="1" applyAlignment="1" applyProtection="1">
      <alignment horizontal="left" vertical="center" wrapText="1"/>
    </xf>
    <xf numFmtId="0" fontId="32" fillId="0" borderId="46" xfId="0" applyFont="1" applyFill="1" applyBorder="1" applyAlignment="1" applyProtection="1">
      <alignment horizontal="left" vertical="center" wrapText="1"/>
    </xf>
    <xf numFmtId="0" fontId="6" fillId="0" borderId="47" xfId="0" applyFont="1" applyBorder="1" applyAlignment="1">
      <alignment horizontal="left" vertical="top"/>
    </xf>
    <xf numFmtId="0" fontId="6" fillId="0" borderId="50" xfId="0" applyFont="1" applyBorder="1" applyAlignment="1">
      <alignment horizontal="left" vertical="top"/>
    </xf>
    <xf numFmtId="0" fontId="2" fillId="0" borderId="47" xfId="0" applyFont="1" applyFill="1" applyBorder="1" applyAlignment="1" applyProtection="1">
      <alignment horizontal="left" vertical="center"/>
    </xf>
    <xf numFmtId="0" fontId="2" fillId="0" borderId="50" xfId="0" applyFont="1" applyFill="1" applyBorder="1" applyAlignment="1" applyProtection="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2" fillId="0" borderId="45" xfId="0" applyFont="1" applyFill="1" applyBorder="1" applyAlignment="1" applyProtection="1">
      <alignment horizontal="left" vertical="top"/>
    </xf>
    <xf numFmtId="0" fontId="32" fillId="0" borderId="46" xfId="0" applyFont="1" applyFill="1" applyBorder="1" applyAlignment="1" applyProtection="1">
      <alignment horizontal="left" vertical="top"/>
    </xf>
    <xf numFmtId="0" fontId="6" fillId="2" borderId="19" xfId="0" applyFont="1" applyFill="1" applyBorder="1" applyAlignment="1" applyProtection="1">
      <alignment horizontal="left" vertical="top" wrapText="1"/>
      <protection locked="0"/>
    </xf>
    <xf numFmtId="0" fontId="6" fillId="0" borderId="60" xfId="0" applyFont="1" applyBorder="1" applyAlignment="1">
      <alignment horizontal="left"/>
    </xf>
    <xf numFmtId="0" fontId="6" fillId="0" borderId="51" xfId="0" applyFont="1" applyBorder="1" applyAlignment="1">
      <alignment horizontal="left"/>
    </xf>
    <xf numFmtId="0" fontId="2" fillId="0" borderId="46" xfId="0" applyFont="1" applyBorder="1" applyAlignment="1">
      <alignment horizontal="left" vertical="top"/>
    </xf>
    <xf numFmtId="0" fontId="2" fillId="0" borderId="35" xfId="0" applyFont="1" applyBorder="1" applyAlignment="1">
      <alignment horizontal="left" vertical="top"/>
    </xf>
    <xf numFmtId="0" fontId="6" fillId="0" borderId="28" xfId="0" applyFont="1" applyBorder="1" applyAlignment="1">
      <alignment horizontal="left" vertical="top"/>
    </xf>
    <xf numFmtId="0" fontId="2" fillId="0" borderId="35" xfId="0" applyFont="1" applyBorder="1" applyAlignment="1">
      <alignment horizontal="left" vertical="center" wrapText="1"/>
    </xf>
    <xf numFmtId="0" fontId="6" fillId="0" borderId="28" xfId="0" applyFont="1" applyBorder="1" applyAlignment="1">
      <alignment horizontal="left" vertical="center" wrapText="1"/>
    </xf>
    <xf numFmtId="0" fontId="2" fillId="0" borderId="28" xfId="0" applyFont="1" applyBorder="1" applyAlignment="1">
      <alignment horizontal="left" vertical="center" wrapText="1"/>
    </xf>
    <xf numFmtId="0" fontId="2" fillId="0" borderId="45" xfId="0" applyFont="1" applyFill="1" applyBorder="1" applyAlignment="1" applyProtection="1">
      <alignment horizontal="left" vertical="center"/>
    </xf>
    <xf numFmtId="0" fontId="6" fillId="0" borderId="46" xfId="0" applyFont="1" applyFill="1" applyBorder="1" applyAlignment="1" applyProtection="1">
      <alignment horizontal="left" vertical="center"/>
    </xf>
    <xf numFmtId="0" fontId="26" fillId="0" borderId="8" xfId="0" applyFont="1" applyBorder="1" applyAlignment="1">
      <alignment horizontal="left" vertical="top" wrapText="1"/>
    </xf>
    <xf numFmtId="0" fontId="2" fillId="0" borderId="35" xfId="0" applyFont="1" applyFill="1" applyBorder="1" applyAlignment="1" applyProtection="1">
      <alignment horizontal="left" vertical="center"/>
    </xf>
    <xf numFmtId="0" fontId="2" fillId="0" borderId="28" xfId="0" applyFont="1" applyFill="1" applyBorder="1" applyAlignment="1" applyProtection="1">
      <alignment horizontal="left" vertical="center"/>
    </xf>
    <xf numFmtId="0" fontId="6" fillId="0" borderId="53" xfId="0" applyFont="1" applyBorder="1" applyAlignment="1">
      <alignment horizontal="left" vertical="center" wrapText="1"/>
    </xf>
    <xf numFmtId="0" fontId="2" fillId="0" borderId="35"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45" xfId="0" applyFont="1" applyBorder="1" applyAlignment="1">
      <alignment horizontal="left"/>
    </xf>
    <xf numFmtId="0" fontId="6" fillId="0" borderId="53" xfId="0" applyFont="1" applyBorder="1" applyAlignment="1">
      <alignment horizontal="left"/>
    </xf>
    <xf numFmtId="0" fontId="6" fillId="0" borderId="10" xfId="0" applyFont="1" applyFill="1" applyBorder="1" applyAlignment="1">
      <alignment horizontal="left"/>
    </xf>
    <xf numFmtId="0" fontId="6" fillId="0" borderId="9" xfId="0" applyFont="1" applyFill="1" applyBorder="1" applyAlignment="1">
      <alignment horizontal="left"/>
    </xf>
    <xf numFmtId="0" fontId="2" fillId="0" borderId="35" xfId="0" applyFont="1" applyFill="1" applyBorder="1" applyAlignment="1" applyProtection="1">
      <alignment horizontal="left"/>
    </xf>
    <xf numFmtId="0" fontId="2" fillId="0" borderId="28" xfId="0" applyFont="1" applyFill="1" applyBorder="1" applyAlignment="1" applyProtection="1">
      <alignment horizontal="left"/>
    </xf>
    <xf numFmtId="0" fontId="2" fillId="0" borderId="35" xfId="0" applyFont="1" applyBorder="1" applyAlignment="1" applyProtection="1">
      <alignment horizontal="left" vertical="top"/>
    </xf>
    <xf numFmtId="0" fontId="2" fillId="0" borderId="28" xfId="0" applyFont="1" applyBorder="1" applyAlignment="1" applyProtection="1">
      <alignment horizontal="left" vertical="top"/>
    </xf>
    <xf numFmtId="0" fontId="2" fillId="0" borderId="46" xfId="0" applyFont="1" applyFill="1" applyBorder="1" applyAlignment="1" applyProtection="1">
      <alignment horizontal="left" vertical="top" wrapText="1"/>
    </xf>
    <xf numFmtId="0" fontId="15" fillId="0" borderId="23" xfId="0" applyFont="1" applyBorder="1" applyAlignment="1">
      <alignment horizontal="center" wrapText="1"/>
    </xf>
    <xf numFmtId="0" fontId="15" fillId="0" borderId="30" xfId="0" applyFont="1" applyBorder="1" applyAlignment="1">
      <alignment horizontal="center" wrapText="1"/>
    </xf>
    <xf numFmtId="0" fontId="15" fillId="0" borderId="28" xfId="0" applyFont="1" applyBorder="1" applyAlignment="1">
      <alignment horizontal="center" wrapText="1"/>
    </xf>
    <xf numFmtId="0" fontId="8" fillId="0" borderId="0" xfId="0" applyFont="1" applyAlignment="1" applyProtection="1">
      <alignment horizontal="center" vertical="top"/>
      <protection locked="0"/>
    </xf>
    <xf numFmtId="0" fontId="5" fillId="0" borderId="0" xfId="0" applyFont="1" applyBorder="1" applyAlignment="1" applyProtection="1">
      <alignment horizontal="left" vertical="top"/>
      <protection locked="0"/>
    </xf>
    <xf numFmtId="0" fontId="9" fillId="0" borderId="55" xfId="0" applyFont="1" applyFill="1" applyBorder="1" applyAlignment="1" applyProtection="1">
      <alignment horizontal="left" vertical="center"/>
    </xf>
    <xf numFmtId="0" fontId="2" fillId="0" borderId="55" xfId="0" applyFont="1" applyFill="1" applyBorder="1" applyAlignment="1" applyProtection="1">
      <alignment horizontal="left" vertical="center"/>
    </xf>
    <xf numFmtId="0" fontId="2" fillId="0" borderId="45" xfId="0" applyFont="1" applyFill="1" applyBorder="1" applyAlignment="1" applyProtection="1">
      <alignment horizontal="left" vertical="center" wrapText="1"/>
    </xf>
    <xf numFmtId="0" fontId="6" fillId="0" borderId="46" xfId="0" applyFont="1" applyFill="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2" borderId="43" xfId="0" applyFont="1" applyFill="1" applyBorder="1" applyAlignment="1" applyProtection="1">
      <alignment horizontal="left" vertical="top"/>
      <protection locked="0"/>
    </xf>
    <xf numFmtId="0" fontId="2" fillId="2" borderId="44" xfId="0" applyFont="1" applyFill="1" applyBorder="1" applyAlignment="1" applyProtection="1">
      <alignment horizontal="left" vertical="top"/>
      <protection locked="0"/>
    </xf>
    <xf numFmtId="0" fontId="2" fillId="2" borderId="42"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center" wrapText="1"/>
    </xf>
    <xf numFmtId="0" fontId="53" fillId="9" borderId="0" xfId="0" applyFont="1" applyFill="1" applyBorder="1" applyAlignment="1" applyProtection="1">
      <alignment horizontal="center" vertical="center" wrapText="1"/>
    </xf>
    <xf numFmtId="0" fontId="6" fillId="0" borderId="62" xfId="0" applyFont="1" applyBorder="1" applyAlignment="1" applyProtection="1">
      <alignment horizontal="left" vertical="top" wrapText="1"/>
    </xf>
    <xf numFmtId="0" fontId="2"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47" xfId="0" applyFont="1" applyBorder="1" applyAlignment="1" applyProtection="1">
      <alignment horizontal="left" vertical="center"/>
    </xf>
    <xf numFmtId="0" fontId="6" fillId="0" borderId="50" xfId="0" applyFont="1" applyBorder="1" applyAlignment="1" applyProtection="1">
      <alignment horizontal="left" vertical="center"/>
    </xf>
    <xf numFmtId="0" fontId="2"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2" fillId="0" borderId="45"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47" fillId="11" borderId="43" xfId="0" applyFont="1" applyFill="1" applyBorder="1" applyAlignment="1" applyProtection="1">
      <alignment horizontal="center" vertical="center" wrapText="1"/>
    </xf>
    <xf numFmtId="0" fontId="47" fillId="11" borderId="44" xfId="0" applyFont="1" applyFill="1" applyBorder="1" applyAlignment="1" applyProtection="1">
      <alignment horizontal="center" vertical="center" wrapText="1"/>
    </xf>
    <xf numFmtId="0" fontId="47" fillId="11" borderId="42" xfId="0" applyFont="1" applyFill="1" applyBorder="1" applyAlignment="1" applyProtection="1">
      <alignment horizontal="center" vertical="center" wrapText="1"/>
    </xf>
    <xf numFmtId="0" fontId="11" fillId="0" borderId="46" xfId="0" applyFont="1" applyBorder="1" applyAlignment="1" applyProtection="1">
      <alignment horizontal="left" vertical="center" wrapText="1"/>
    </xf>
    <xf numFmtId="0" fontId="9" fillId="0" borderId="55" xfId="0" applyFont="1" applyBorder="1" applyAlignment="1" applyProtection="1">
      <alignment horizontal="left" vertical="center"/>
    </xf>
    <xf numFmtId="0" fontId="2" fillId="0" borderId="55" xfId="0" applyFont="1" applyBorder="1" applyAlignment="1" applyProtection="1">
      <alignment horizontal="left" vertical="center"/>
    </xf>
    <xf numFmtId="49" fontId="57" fillId="0" borderId="0" xfId="0" applyNumberFormat="1" applyFont="1" applyAlignment="1" applyProtection="1">
      <alignment horizontal="left" vertical="top"/>
      <protection locked="0"/>
    </xf>
    <xf numFmtId="0" fontId="8" fillId="0" borderId="0" xfId="0" applyFont="1" applyAlignment="1">
      <alignment horizontal="center" wrapText="1"/>
    </xf>
    <xf numFmtId="0" fontId="4"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49" fontId="4" fillId="0" borderId="0" xfId="0" applyNumberFormat="1" applyFont="1" applyAlignment="1" applyProtection="1">
      <alignment horizontal="left" vertical="top"/>
      <protection locked="0"/>
    </xf>
    <xf numFmtId="49" fontId="4" fillId="0" borderId="0" xfId="0" applyNumberFormat="1" applyFont="1" applyAlignment="1" applyProtection="1">
      <alignment horizontal="left"/>
      <protection locked="0"/>
    </xf>
    <xf numFmtId="0" fontId="0" fillId="0" borderId="0" xfId="0" applyAlignment="1" applyProtection="1">
      <alignment horizontal="left"/>
      <protection locked="0"/>
    </xf>
    <xf numFmtId="0" fontId="5" fillId="0" borderId="0" xfId="0" applyFont="1" applyBorder="1" applyAlignment="1">
      <alignment horizontal="justify"/>
    </xf>
    <xf numFmtId="0" fontId="0" fillId="0" borderId="0" xfId="0" applyBorder="1" applyAlignment="1"/>
    <xf numFmtId="0" fontId="5" fillId="0" borderId="0" xfId="0" applyFont="1" applyBorder="1" applyAlignment="1">
      <alignment horizontal="left" vertical="top" wrapText="1"/>
    </xf>
    <xf numFmtId="0" fontId="5" fillId="0" borderId="0" xfId="0" applyFont="1" applyAlignment="1">
      <alignment horizontal="left" vertical="top" wrapText="1"/>
    </xf>
    <xf numFmtId="0" fontId="0" fillId="0" borderId="0" xfId="0" applyAlignment="1" applyProtection="1">
      <alignment horizontal="left" vertical="top"/>
      <protection locked="0"/>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2" xfId="0" applyBorder="1" applyAlignment="1">
      <alignment horizontal="center" vertical="center" wrapText="1"/>
    </xf>
    <xf numFmtId="0" fontId="0" fillId="0" borderId="57" xfId="0" applyBorder="1" applyAlignment="1">
      <alignment horizontal="center" vertical="center" wrapText="1"/>
    </xf>
    <xf numFmtId="0" fontId="0" fillId="0" borderId="21" xfId="0" applyBorder="1" applyAlignment="1">
      <alignment horizontal="center" vertical="center" wrapText="1"/>
    </xf>
    <xf numFmtId="0" fontId="9" fillId="0" borderId="8" xfId="0" applyFont="1" applyBorder="1" applyAlignment="1">
      <alignment horizontal="center" vertical="center" wrapText="1"/>
    </xf>
    <xf numFmtId="0" fontId="0" fillId="0" borderId="22"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43" fillId="0" borderId="0" xfId="0" applyFont="1" applyAlignment="1" applyProtection="1">
      <alignment horizontal="left" vertical="top" wrapText="1"/>
      <protection locked="0"/>
    </xf>
    <xf numFmtId="0" fontId="8" fillId="0" borderId="0" xfId="0" applyFont="1" applyAlignment="1">
      <alignment horizontal="center" vertical="top" wrapText="1"/>
    </xf>
    <xf numFmtId="0" fontId="10" fillId="0" borderId="0" xfId="0" applyFont="1" applyAlignment="1">
      <alignment horizontal="center" vertical="top"/>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5" fillId="0" borderId="0" xfId="0" applyFont="1" applyAlignment="1" applyProtection="1">
      <alignment horizontal="left" vertical="top"/>
      <protection locked="0"/>
    </xf>
    <xf numFmtId="0" fontId="5" fillId="0" borderId="0" xfId="0" applyFont="1" applyAlignment="1">
      <alignment horizontal="left" vertical="center"/>
    </xf>
    <xf numFmtId="0" fontId="43"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0" fillId="0" borderId="0" xfId="0" applyNumberFormat="1" applyFont="1" applyAlignment="1" applyProtection="1">
      <alignment horizontal="left" vertical="top"/>
      <protection locked="0"/>
    </xf>
    <xf numFmtId="49" fontId="43" fillId="0" borderId="0" xfId="0" applyNumberFormat="1" applyFont="1" applyAlignment="1" applyProtection="1">
      <alignment horizontal="left" vertical="top"/>
      <protection locked="0"/>
    </xf>
    <xf numFmtId="49" fontId="0" fillId="0" borderId="0" xfId="0" applyNumberFormat="1" applyBorder="1" applyAlignment="1" applyProtection="1">
      <alignment horizontal="left" vertical="top"/>
      <protection locked="0"/>
    </xf>
    <xf numFmtId="49" fontId="0" fillId="0" borderId="0" xfId="0" applyNumberFormat="1" applyFont="1" applyBorder="1" applyAlignment="1" applyProtection="1">
      <alignment horizontal="left" vertical="top"/>
      <protection locked="0"/>
    </xf>
    <xf numFmtId="0" fontId="13" fillId="0" borderId="0" xfId="0" applyFont="1" applyAlignment="1">
      <alignment horizontal="left" vertical="top"/>
    </xf>
    <xf numFmtId="0" fontId="13" fillId="0" borderId="0" xfId="0" applyFont="1" applyAlignment="1" applyProtection="1">
      <alignment horizontal="left" vertical="top"/>
      <protection locked="0"/>
    </xf>
    <xf numFmtId="0" fontId="7"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0" xfId="0" applyFont="1" applyAlignment="1">
      <alignment horizontal="left" wrapText="1"/>
    </xf>
    <xf numFmtId="0" fontId="5" fillId="0" borderId="0" xfId="0" applyFont="1" applyAlignment="1">
      <alignment horizontal="left" wrapText="1"/>
    </xf>
    <xf numFmtId="0" fontId="5" fillId="0" borderId="55" xfId="0" applyFont="1" applyBorder="1" applyAlignment="1">
      <alignment horizontal="left" vertical="top" wrapText="1"/>
    </xf>
    <xf numFmtId="0" fontId="9" fillId="0" borderId="20"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40" xfId="0" applyFont="1" applyBorder="1" applyAlignment="1">
      <alignment horizontal="center" vertical="center" wrapText="1"/>
    </xf>
    <xf numFmtId="0" fontId="58" fillId="0" borderId="57" xfId="0" applyFont="1" applyBorder="1" applyAlignment="1">
      <alignment horizontal="center" vertical="center" wrapText="1"/>
    </xf>
    <xf numFmtId="0" fontId="58" fillId="0" borderId="21" xfId="0" applyFont="1" applyBorder="1" applyAlignment="1">
      <alignment horizontal="center" vertical="center" wrapText="1"/>
    </xf>
    <xf numFmtId="0" fontId="8" fillId="0" borderId="0" xfId="0" applyFont="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xf>
    <xf numFmtId="0" fontId="13" fillId="0" borderId="0"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4" fillId="0" borderId="0" xfId="0" applyFont="1" applyAlignment="1">
      <alignment horizontal="left" vertical="top" wrapText="1"/>
    </xf>
    <xf numFmtId="0" fontId="13" fillId="0" borderId="0" xfId="0" applyFont="1" applyAlignment="1">
      <alignment horizontal="left"/>
    </xf>
    <xf numFmtId="0" fontId="0" fillId="0" borderId="0" xfId="0" applyAlignment="1"/>
    <xf numFmtId="49" fontId="5" fillId="0" borderId="0" xfId="0" applyNumberFormat="1" applyFont="1" applyAlignment="1" applyProtection="1">
      <alignment horizontal="center" vertical="top" wrapText="1"/>
      <protection locked="0"/>
    </xf>
    <xf numFmtId="49" fontId="4" fillId="0" borderId="0" xfId="0" applyNumberFormat="1" applyFont="1" applyAlignment="1" applyProtection="1">
      <alignment horizontal="left" vertical="top" wrapText="1"/>
      <protection locked="0"/>
    </xf>
    <xf numFmtId="0" fontId="15" fillId="0" borderId="23" xfId="0" applyFont="1" applyBorder="1" applyAlignment="1">
      <alignment horizontal="left"/>
    </xf>
    <xf numFmtId="0" fontId="15" fillId="0" borderId="28" xfId="0" applyFont="1" applyBorder="1" applyAlignment="1">
      <alignment horizontal="left"/>
    </xf>
    <xf numFmtId="0" fontId="42" fillId="0" borderId="23" xfId="0" applyFont="1" applyBorder="1" applyAlignment="1">
      <alignment horizontal="left" vertical="top"/>
    </xf>
    <xf numFmtId="0" fontId="42" fillId="0" borderId="28" xfId="0" applyFont="1" applyBorder="1" applyAlignment="1">
      <alignment horizontal="left" vertical="top"/>
    </xf>
    <xf numFmtId="0" fontId="15" fillId="0" borderId="23" xfId="0" applyFont="1" applyBorder="1" applyAlignment="1">
      <alignment horizontal="center"/>
    </xf>
    <xf numFmtId="0" fontId="15" fillId="0" borderId="30" xfId="0" applyFont="1" applyBorder="1" applyAlignment="1">
      <alignment horizontal="center"/>
    </xf>
    <xf numFmtId="0" fontId="15" fillId="0" borderId="28" xfId="0" applyFont="1" applyBorder="1" applyAlignment="1">
      <alignment horizontal="center"/>
    </xf>
    <xf numFmtId="0" fontId="14" fillId="0" borderId="23" xfId="0" applyFont="1" applyBorder="1" applyAlignment="1">
      <alignment horizontal="left" vertical="top" wrapText="1"/>
    </xf>
    <xf numFmtId="0" fontId="14" fillId="0" borderId="30" xfId="0" applyFont="1" applyBorder="1" applyAlignment="1">
      <alignment horizontal="left" vertical="top" wrapText="1"/>
    </xf>
    <xf numFmtId="0" fontId="4" fillId="0" borderId="0" xfId="0" applyFont="1" applyAlignment="1" applyProtection="1">
      <alignment horizontal="left" vertical="top" wrapText="1"/>
    </xf>
    <xf numFmtId="0" fontId="0" fillId="0" borderId="1" xfId="0" applyBorder="1" applyAlignment="1">
      <alignment horizontal="center" vertical="center"/>
    </xf>
    <xf numFmtId="0" fontId="14" fillId="2" borderId="30" xfId="0" applyFont="1" applyFill="1" applyBorder="1" applyAlignment="1">
      <alignment horizontal="center"/>
    </xf>
    <xf numFmtId="0" fontId="14" fillId="2" borderId="28" xfId="0" applyFont="1" applyFill="1" applyBorder="1" applyAlignment="1">
      <alignment horizontal="center"/>
    </xf>
    <xf numFmtId="0" fontId="4" fillId="3" borderId="0" xfId="0" applyFont="1" applyFill="1" applyAlignment="1" applyProtection="1">
      <alignment horizontal="left"/>
      <protection locked="0"/>
    </xf>
    <xf numFmtId="0" fontId="4" fillId="0" borderId="0" xfId="0" applyFont="1" applyAlignment="1" applyProtection="1">
      <alignment horizontal="left"/>
    </xf>
    <xf numFmtId="0" fontId="4" fillId="0" borderId="0" xfId="0" applyFont="1" applyAlignment="1" applyProtection="1">
      <alignment horizontal="left" vertical="center"/>
    </xf>
    <xf numFmtId="0" fontId="15" fillId="8" borderId="30" xfId="0" applyFont="1" applyFill="1" applyBorder="1" applyAlignment="1">
      <alignment horizontal="center"/>
    </xf>
    <xf numFmtId="0" fontId="15" fillId="8" borderId="28" xfId="0" applyFont="1" applyFill="1" applyBorder="1" applyAlignment="1">
      <alignment horizontal="center"/>
    </xf>
    <xf numFmtId="0" fontId="4" fillId="3" borderId="0" xfId="0" applyFont="1" applyFill="1" applyAlignment="1" applyProtection="1">
      <alignment horizontal="left" vertical="top" wrapText="1"/>
    </xf>
    <xf numFmtId="0" fontId="15" fillId="0" borderId="0" xfId="0" applyFont="1" applyAlignment="1">
      <alignment horizontal="center"/>
    </xf>
    <xf numFmtId="0" fontId="14" fillId="4" borderId="1" xfId="0" applyFont="1" applyFill="1" applyBorder="1" applyAlignment="1">
      <alignment horizontal="center"/>
    </xf>
    <xf numFmtId="0" fontId="15" fillId="13" borderId="1" xfId="0" applyFont="1" applyFill="1" applyBorder="1" applyAlignment="1">
      <alignment horizontal="center"/>
    </xf>
    <xf numFmtId="0" fontId="42" fillId="0" borderId="0" xfId="0" applyFont="1" applyBorder="1" applyAlignment="1" applyProtection="1">
      <alignment horizontal="center"/>
    </xf>
    <xf numFmtId="0" fontId="72" fillId="0" borderId="68" xfId="0" applyFont="1" applyBorder="1" applyAlignment="1" applyProtection="1">
      <alignment horizontal="center" vertical="center" wrapText="1"/>
    </xf>
    <xf numFmtId="0" fontId="73" fillId="0" borderId="69" xfId="0" applyFont="1" applyBorder="1" applyAlignment="1">
      <alignment horizontal="center" vertical="center" wrapText="1"/>
    </xf>
    <xf numFmtId="0" fontId="68" fillId="0" borderId="0" xfId="0" applyFont="1" applyBorder="1" applyAlignment="1" applyProtection="1">
      <alignment horizontal="center" vertical="center"/>
    </xf>
    <xf numFmtId="49" fontId="70" fillId="0" borderId="0" xfId="0" applyNumberFormat="1" applyFont="1" applyBorder="1" applyAlignment="1" applyProtection="1">
      <alignment horizontal="left" vertical="top" wrapText="1"/>
    </xf>
    <xf numFmtId="0" fontId="70" fillId="0" borderId="0" xfId="0" applyFont="1" applyBorder="1" applyAlignment="1" applyProtection="1">
      <alignment horizontal="left" vertical="top" wrapText="1"/>
    </xf>
    <xf numFmtId="0" fontId="42" fillId="0" borderId="6" xfId="0" applyFont="1" applyBorder="1" applyAlignment="1" applyProtection="1">
      <alignment horizontal="center"/>
    </xf>
    <xf numFmtId="0" fontId="42" fillId="0" borderId="65" xfId="0" applyFont="1" applyBorder="1" applyAlignment="1" applyProtection="1">
      <alignment horizontal="center"/>
    </xf>
    <xf numFmtId="0" fontId="64" fillId="0" borderId="8" xfId="0" applyFont="1" applyBorder="1" applyAlignment="1" applyProtection="1">
      <alignment horizontal="center"/>
    </xf>
    <xf numFmtId="0" fontId="64" fillId="0" borderId="66" xfId="0" applyFont="1" applyBorder="1" applyAlignment="1" applyProtection="1">
      <alignment horizontal="center"/>
    </xf>
    <xf numFmtId="0" fontId="68" fillId="0" borderId="27" xfId="0" applyFont="1" applyBorder="1" applyAlignment="1" applyProtection="1">
      <alignment horizontal="center" wrapText="1"/>
    </xf>
    <xf numFmtId="0" fontId="68" fillId="0" borderId="67" xfId="0" applyFont="1" applyBorder="1" applyAlignment="1" applyProtection="1">
      <alignment horizontal="center" wrapText="1"/>
    </xf>
    <xf numFmtId="0" fontId="67" fillId="0" borderId="55" xfId="0" applyFont="1" applyBorder="1" applyAlignment="1" applyProtection="1">
      <alignment horizontal="center"/>
    </xf>
    <xf numFmtId="0" fontId="64" fillId="0" borderId="0" xfId="0" applyFont="1" applyAlignment="1" applyProtection="1">
      <alignment horizontal="center"/>
    </xf>
    <xf numFmtId="0" fontId="58" fillId="0" borderId="0" xfId="0" applyFont="1" applyAlignment="1" applyProtection="1">
      <alignment horizontal="center"/>
    </xf>
  </cellXfs>
  <cellStyles count="2">
    <cellStyle name="Normal" xfId="0" builtinId="0"/>
    <cellStyle name="Percent" xfId="1" builtinId="5"/>
  </cellStyles>
  <dxfs count="0"/>
  <tableStyles count="0" defaultTableStyle="TableStyleMedium9" defaultPivotStyle="PivotStyleLight16"/>
  <colors>
    <mruColors>
      <color rgb="FFD48B6A"/>
      <color rgb="FFCD7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409575</xdr:colOff>
      <xdr:row>8</xdr:row>
      <xdr:rowOff>123825</xdr:rowOff>
    </xdr:from>
    <xdr:to>
      <xdr:col>5</xdr:col>
      <xdr:colOff>28575</xdr:colOff>
      <xdr:row>11</xdr:row>
      <xdr:rowOff>66675</xdr:rowOff>
    </xdr:to>
    <xdr:sp macro="[0]!ke_hitung_F1" textlink="">
      <xdr:nvSpPr>
        <xdr:cNvPr id="3" name="Rounded Rectangle 2"/>
        <xdr:cNvSpPr>
          <a:spLocks noChangeArrowheads="1"/>
        </xdr:cNvSpPr>
      </xdr:nvSpPr>
      <xdr:spPr bwMode="auto">
        <a:xfrm>
          <a:off x="1466850" y="1695450"/>
          <a:ext cx="1428750" cy="514350"/>
        </a:xfrm>
        <a:prstGeom prst="roundRect">
          <a:avLst>
            <a:gd name="adj" fmla="val 16667"/>
          </a:avLst>
        </a:prstGeom>
        <a:solidFill>
          <a:srgbClr val="EBF1DE"/>
        </a:solidFill>
        <a:ln w="25400" algn="ctr">
          <a:solidFill>
            <a:srgbClr val="385D8A"/>
          </a:solidFill>
          <a:round/>
          <a:headEnd/>
          <a:tailEnd/>
        </a:ln>
      </xdr:spPr>
      <xdr:txBody>
        <a:bodyPr vertOverflow="clip" wrap="square" lIns="91440" tIns="45720" rIns="91440" bIns="45720" anchor="ctr" upright="1"/>
        <a:lstStyle/>
        <a:p>
          <a:pPr algn="l" rtl="1">
            <a:defRPr sz="1000"/>
          </a:pPr>
          <a:r>
            <a:rPr lang="en-US" sz="1100" b="1" i="0" strike="noStrike">
              <a:solidFill>
                <a:srgbClr val="000000"/>
              </a:solidFill>
              <a:latin typeface="Arial"/>
              <a:cs typeface="Arial"/>
            </a:rPr>
            <a:t>Borang Institusi</a:t>
          </a:r>
        </a:p>
      </xdr:txBody>
    </xdr:sp>
    <xdr:clientData/>
  </xdr:twoCellAnchor>
  <xdr:twoCellAnchor>
    <xdr:from>
      <xdr:col>2</xdr:col>
      <xdr:colOff>428625</xdr:colOff>
      <xdr:row>12</xdr:row>
      <xdr:rowOff>9525</xdr:rowOff>
    </xdr:from>
    <xdr:to>
      <xdr:col>5</xdr:col>
      <xdr:colOff>47625</xdr:colOff>
      <xdr:row>14</xdr:row>
      <xdr:rowOff>95251</xdr:rowOff>
    </xdr:to>
    <xdr:sp macro="[0]!ke_hitung_F2" textlink="">
      <xdr:nvSpPr>
        <xdr:cNvPr id="4" name="Rounded Rectangle 3"/>
        <xdr:cNvSpPr/>
      </xdr:nvSpPr>
      <xdr:spPr>
        <a:xfrm>
          <a:off x="1485900" y="2343150"/>
          <a:ext cx="1428750" cy="466726"/>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100" b="1">
              <a:solidFill>
                <a:schemeClr val="tx1"/>
              </a:solidFill>
              <a:latin typeface="Arial" pitchFamily="34" charset="0"/>
              <a:cs typeface="Arial" pitchFamily="34" charset="0"/>
            </a:rPr>
            <a:t>Evaluasi Diri</a:t>
          </a:r>
        </a:p>
      </xdr:txBody>
    </xdr:sp>
    <xdr:clientData/>
  </xdr:twoCellAnchor>
  <xdr:twoCellAnchor>
    <xdr:from>
      <xdr:col>5</xdr:col>
      <xdr:colOff>257175</xdr:colOff>
      <xdr:row>8</xdr:row>
      <xdr:rowOff>123825</xdr:rowOff>
    </xdr:from>
    <xdr:to>
      <xdr:col>7</xdr:col>
      <xdr:colOff>180975</xdr:colOff>
      <xdr:row>11</xdr:row>
      <xdr:rowOff>28575</xdr:rowOff>
    </xdr:to>
    <xdr:sp macro="[0]!ke_F1" textlink="">
      <xdr:nvSpPr>
        <xdr:cNvPr id="5" name="Rounded Rectangle 4"/>
        <xdr:cNvSpPr/>
      </xdr:nvSpPr>
      <xdr:spPr>
        <a:xfrm>
          <a:off x="3305175" y="1647825"/>
          <a:ext cx="1143000" cy="47625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chemeClr val="tx1"/>
              </a:solidFill>
              <a:latin typeface="Arial" pitchFamily="34" charset="0"/>
              <a:cs typeface="Arial" pitchFamily="34" charset="0"/>
            </a:rPr>
            <a:t>Format 1</a:t>
          </a:r>
        </a:p>
      </xdr:txBody>
    </xdr:sp>
    <xdr:clientData/>
  </xdr:twoCellAnchor>
  <xdr:twoCellAnchor>
    <xdr:from>
      <xdr:col>5</xdr:col>
      <xdr:colOff>257175</xdr:colOff>
      <xdr:row>12</xdr:row>
      <xdr:rowOff>0</xdr:rowOff>
    </xdr:from>
    <xdr:to>
      <xdr:col>7</xdr:col>
      <xdr:colOff>171450</xdr:colOff>
      <xdr:row>14</xdr:row>
      <xdr:rowOff>123825</xdr:rowOff>
    </xdr:to>
    <xdr:sp macro="[0]!ke_F2" textlink="">
      <xdr:nvSpPr>
        <xdr:cNvPr id="6" name="Rounded Rectangle 5"/>
        <xdr:cNvSpPr>
          <a:spLocks noChangeArrowheads="1"/>
        </xdr:cNvSpPr>
      </xdr:nvSpPr>
      <xdr:spPr bwMode="auto">
        <a:xfrm>
          <a:off x="3124200" y="2333625"/>
          <a:ext cx="847725" cy="504825"/>
        </a:xfrm>
        <a:prstGeom prst="roundRect">
          <a:avLst>
            <a:gd name="adj" fmla="val 16667"/>
          </a:avLst>
        </a:prstGeom>
        <a:solidFill>
          <a:srgbClr val="B9CDE5"/>
        </a:solidFill>
        <a:ln w="25400" algn="ctr">
          <a:solidFill>
            <a:srgbClr val="385D8A"/>
          </a:solidFill>
          <a:round/>
          <a:headEnd/>
          <a:tailEnd/>
        </a:ln>
      </xdr:spPr>
      <xdr:txBody>
        <a:bodyPr vertOverflow="clip" wrap="square" lIns="91440" tIns="45720" rIns="91440" bIns="45720" anchor="ctr" upright="1"/>
        <a:lstStyle/>
        <a:p>
          <a:pPr algn="ctr" rtl="1">
            <a:defRPr sz="1000"/>
          </a:pPr>
          <a:r>
            <a:rPr lang="en-US" sz="1100" b="1" i="0" strike="noStrike">
              <a:solidFill>
                <a:srgbClr val="000000"/>
              </a:solidFill>
              <a:latin typeface="Arial"/>
              <a:cs typeface="Arial"/>
            </a:rPr>
            <a:t>Format 2</a:t>
          </a:r>
        </a:p>
      </xdr:txBody>
    </xdr:sp>
    <xdr:clientData/>
  </xdr:twoCellAnchor>
  <xdr:twoCellAnchor>
    <xdr:from>
      <xdr:col>8</xdr:col>
      <xdr:colOff>161925</xdr:colOff>
      <xdr:row>10</xdr:row>
      <xdr:rowOff>76200</xdr:rowOff>
    </xdr:from>
    <xdr:to>
      <xdr:col>10</xdr:col>
      <xdr:colOff>247650</xdr:colOff>
      <xdr:row>12</xdr:row>
      <xdr:rowOff>161926</xdr:rowOff>
    </xdr:to>
    <xdr:sp macro="[0]!ke_F3" textlink="">
      <xdr:nvSpPr>
        <xdr:cNvPr id="7" name="Rounded Rectangle 6"/>
        <xdr:cNvSpPr/>
      </xdr:nvSpPr>
      <xdr:spPr>
        <a:xfrm>
          <a:off x="4562475" y="2028825"/>
          <a:ext cx="838200" cy="466726"/>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chemeClr val="tx1"/>
              </a:solidFill>
              <a:latin typeface="Arial" pitchFamily="34" charset="0"/>
              <a:cs typeface="Arial" pitchFamily="34" charset="0"/>
            </a:rPr>
            <a:t>Format 3</a:t>
          </a:r>
        </a:p>
      </xdr:txBody>
    </xdr:sp>
    <xdr:clientData/>
  </xdr:twoCellAnchor>
  <xdr:twoCellAnchor>
    <xdr:from>
      <xdr:col>12</xdr:col>
      <xdr:colOff>219075</xdr:colOff>
      <xdr:row>12</xdr:row>
      <xdr:rowOff>47625</xdr:rowOff>
    </xdr:from>
    <xdr:to>
      <xdr:col>13</xdr:col>
      <xdr:colOff>390525</xdr:colOff>
      <xdr:row>14</xdr:row>
      <xdr:rowOff>133351</xdr:rowOff>
    </xdr:to>
    <xdr:sp macro="[0]!ke_F5" textlink="">
      <xdr:nvSpPr>
        <xdr:cNvPr id="10" name="Rounded Rectangle 9"/>
        <xdr:cNvSpPr/>
      </xdr:nvSpPr>
      <xdr:spPr>
        <a:xfrm>
          <a:off x="5962650" y="2381250"/>
          <a:ext cx="866775" cy="466726"/>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chemeClr val="tx1"/>
              </a:solidFill>
              <a:latin typeface="Arial" pitchFamily="34" charset="0"/>
              <a:cs typeface="Arial" pitchFamily="34" charset="0"/>
            </a:rPr>
            <a:t>Format 5</a:t>
          </a:r>
        </a:p>
      </xdr:txBody>
    </xdr:sp>
    <xdr:clientData/>
  </xdr:twoCellAnchor>
  <xdr:twoCellAnchor>
    <xdr:from>
      <xdr:col>12</xdr:col>
      <xdr:colOff>190500</xdr:colOff>
      <xdr:row>8</xdr:row>
      <xdr:rowOff>152400</xdr:rowOff>
    </xdr:from>
    <xdr:to>
      <xdr:col>13</xdr:col>
      <xdr:colOff>371475</xdr:colOff>
      <xdr:row>11</xdr:row>
      <xdr:rowOff>47626</xdr:rowOff>
    </xdr:to>
    <xdr:sp macro="[0]!ke_F4" textlink="">
      <xdr:nvSpPr>
        <xdr:cNvPr id="11" name="Rounded Rectangle 10"/>
        <xdr:cNvSpPr/>
      </xdr:nvSpPr>
      <xdr:spPr>
        <a:xfrm>
          <a:off x="5934075" y="1724025"/>
          <a:ext cx="876300" cy="466726"/>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chemeClr val="tx1"/>
              </a:solidFill>
              <a:latin typeface="Arial" pitchFamily="34" charset="0"/>
              <a:cs typeface="Arial" pitchFamily="34" charset="0"/>
            </a:rPr>
            <a:t>Format 4</a:t>
          </a:r>
        </a:p>
      </xdr:txBody>
    </xdr:sp>
    <xdr:clientData/>
  </xdr:twoCellAnchor>
  <xdr:twoCellAnchor>
    <xdr:from>
      <xdr:col>14</xdr:col>
      <xdr:colOff>114300</xdr:colOff>
      <xdr:row>12</xdr:row>
      <xdr:rowOff>19050</xdr:rowOff>
    </xdr:from>
    <xdr:to>
      <xdr:col>15</xdr:col>
      <xdr:colOff>47625</xdr:colOff>
      <xdr:row>14</xdr:row>
      <xdr:rowOff>133350</xdr:rowOff>
    </xdr:to>
    <xdr:sp macro="[0]!ke_nilai_akhir" textlink="">
      <xdr:nvSpPr>
        <xdr:cNvPr id="13" name="Rounded Rectangle 12"/>
        <xdr:cNvSpPr/>
      </xdr:nvSpPr>
      <xdr:spPr>
        <a:xfrm>
          <a:off x="7048500" y="2352675"/>
          <a:ext cx="1295400" cy="49530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ctr"/>
          <a:r>
            <a:rPr lang="en-US" sz="1100" b="1">
              <a:solidFill>
                <a:schemeClr val="tx1"/>
              </a:solidFill>
              <a:latin typeface="Arial" pitchFamily="34" charset="0"/>
              <a:cs typeface="Arial" pitchFamily="34" charset="0"/>
            </a:rPr>
            <a:t>Nilai</a:t>
          </a:r>
          <a:r>
            <a:rPr lang="en-US" sz="1100" b="1" baseline="0">
              <a:solidFill>
                <a:schemeClr val="tx1"/>
              </a:solidFill>
              <a:latin typeface="Arial" pitchFamily="34" charset="0"/>
              <a:cs typeface="Arial" pitchFamily="34" charset="0"/>
            </a:rPr>
            <a:t>   Desk&amp;Visitasi</a:t>
          </a:r>
          <a:endParaRPr lang="en-US" sz="1100" b="1">
            <a:solidFill>
              <a:schemeClr val="tx1"/>
            </a:solidFill>
            <a:latin typeface="Arial" pitchFamily="34" charset="0"/>
            <a:cs typeface="Arial" pitchFamily="34" charset="0"/>
          </a:endParaRPr>
        </a:p>
      </xdr:txBody>
    </xdr:sp>
    <xdr:clientData/>
  </xdr:twoCellAnchor>
  <xdr:twoCellAnchor>
    <xdr:from>
      <xdr:col>14</xdr:col>
      <xdr:colOff>104775</xdr:colOff>
      <xdr:row>8</xdr:row>
      <xdr:rowOff>123825</xdr:rowOff>
    </xdr:from>
    <xdr:to>
      <xdr:col>15</xdr:col>
      <xdr:colOff>57150</xdr:colOff>
      <xdr:row>11</xdr:row>
      <xdr:rowOff>76200</xdr:rowOff>
    </xdr:to>
    <xdr:sp macro="[0]!ke_F6" textlink="">
      <xdr:nvSpPr>
        <xdr:cNvPr id="14" name="Rounded Rectangle 13"/>
        <xdr:cNvSpPr/>
      </xdr:nvSpPr>
      <xdr:spPr>
        <a:xfrm>
          <a:off x="7038975" y="1695450"/>
          <a:ext cx="1314450" cy="523875"/>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chemeClr val="tx1"/>
              </a:solidFill>
              <a:latin typeface="Arial" pitchFamily="34" charset="0"/>
              <a:cs typeface="Arial" pitchFamily="34" charset="0"/>
            </a:rPr>
            <a:t>Rekomendasi</a:t>
          </a:r>
        </a:p>
        <a:p>
          <a:pPr algn="ctr"/>
          <a:r>
            <a:rPr lang="en-US" sz="1100" b="1">
              <a:solidFill>
                <a:schemeClr val="tx1"/>
              </a:solidFill>
              <a:latin typeface="Arial" pitchFamily="34" charset="0"/>
              <a:cs typeface="Arial" pitchFamily="34" charset="0"/>
            </a:rPr>
            <a:t>Format 6</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219075</xdr:colOff>
      <xdr:row>0</xdr:row>
      <xdr:rowOff>57150</xdr:rowOff>
    </xdr:from>
    <xdr:to>
      <xdr:col>15</xdr:col>
      <xdr:colOff>590550</xdr:colOff>
      <xdr:row>1</xdr:row>
      <xdr:rowOff>161925</xdr:rowOff>
    </xdr:to>
    <xdr:sp macro="[0]!ke_Menu" textlink="">
      <xdr:nvSpPr>
        <xdr:cNvPr id="2" name="Rounded Rectangle 1"/>
        <xdr:cNvSpPr/>
      </xdr:nvSpPr>
      <xdr:spPr>
        <a:xfrm>
          <a:off x="8153400" y="57150"/>
          <a:ext cx="981075" cy="371475"/>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MENU</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847725</xdr:colOff>
      <xdr:row>44</xdr:row>
      <xdr:rowOff>0</xdr:rowOff>
    </xdr:from>
    <xdr:to>
      <xdr:col>1</xdr:col>
      <xdr:colOff>0</xdr:colOff>
      <xdr:row>44</xdr:row>
      <xdr:rowOff>190500</xdr:rowOff>
    </xdr:to>
    <xdr:pic>
      <xdr:nvPicPr>
        <xdr:cNvPr id="2"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47725" y="10315575"/>
          <a:ext cx="20955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847725</xdr:colOff>
      <xdr:row>46</xdr:row>
      <xdr:rowOff>9525</xdr:rowOff>
    </xdr:from>
    <xdr:to>
      <xdr:col>1</xdr:col>
      <xdr:colOff>0</xdr:colOff>
      <xdr:row>46</xdr:row>
      <xdr:rowOff>180975</xdr:rowOff>
    </xdr:to>
    <xdr:pic>
      <xdr:nvPicPr>
        <xdr:cNvPr id="3"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847725" y="10734675"/>
          <a:ext cx="209550" cy="171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0</xdr:row>
      <xdr:rowOff>152400</xdr:rowOff>
    </xdr:from>
    <xdr:to>
      <xdr:col>11</xdr:col>
      <xdr:colOff>428625</xdr:colOff>
      <xdr:row>1</xdr:row>
      <xdr:rowOff>257175</xdr:rowOff>
    </xdr:to>
    <xdr:sp macro="[0]!ke_Menu" textlink="">
      <xdr:nvSpPr>
        <xdr:cNvPr id="2" name="Rounded Rectangle 1"/>
        <xdr:cNvSpPr/>
      </xdr:nvSpPr>
      <xdr:spPr>
        <a:xfrm>
          <a:off x="8210550" y="152400"/>
          <a:ext cx="981075" cy="371475"/>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238125</xdr:rowOff>
    </xdr:from>
    <xdr:to>
      <xdr:col>2</xdr:col>
      <xdr:colOff>228600</xdr:colOff>
      <xdr:row>1</xdr:row>
      <xdr:rowOff>266700</xdr:rowOff>
    </xdr:to>
    <xdr:sp macro="" textlink="">
      <xdr:nvSpPr>
        <xdr:cNvPr id="2" name="Rounded Rectangle 1"/>
        <xdr:cNvSpPr/>
      </xdr:nvSpPr>
      <xdr:spPr>
        <a:xfrm>
          <a:off x="28575" y="238125"/>
          <a:ext cx="1095375" cy="3238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tx1"/>
              </a:solidFill>
            </a:rPr>
            <a:t>15-04-2015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371475</xdr:colOff>
      <xdr:row>0</xdr:row>
      <xdr:rowOff>66675</xdr:rowOff>
    </xdr:from>
    <xdr:to>
      <xdr:col>10</xdr:col>
      <xdr:colOff>133350</xdr:colOff>
      <xdr:row>1</xdr:row>
      <xdr:rowOff>9525</xdr:rowOff>
    </xdr:to>
    <xdr:sp macro="[0]!ke_Menu" textlink="">
      <xdr:nvSpPr>
        <xdr:cNvPr id="2" name="Rounded Rectangle 1"/>
        <xdr:cNvSpPr/>
      </xdr:nvSpPr>
      <xdr:spPr>
        <a:xfrm>
          <a:off x="8277225" y="66675"/>
          <a:ext cx="981075" cy="37147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38101</xdr:colOff>
      <xdr:row>0</xdr:row>
      <xdr:rowOff>257175</xdr:rowOff>
    </xdr:from>
    <xdr:to>
      <xdr:col>2</xdr:col>
      <xdr:colOff>209550</xdr:colOff>
      <xdr:row>1</xdr:row>
      <xdr:rowOff>257175</xdr:rowOff>
    </xdr:to>
    <xdr:sp macro="" textlink="">
      <xdr:nvSpPr>
        <xdr:cNvPr id="2" name="Rounded Rectangle 1"/>
        <xdr:cNvSpPr/>
      </xdr:nvSpPr>
      <xdr:spPr>
        <a:xfrm>
          <a:off x="38101" y="257175"/>
          <a:ext cx="1066799" cy="3238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solidFill>
                <a:schemeClr val="tx1"/>
              </a:solidFill>
            </a:rPr>
            <a:t>19-03-2015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76200</xdr:colOff>
      <xdr:row>0</xdr:row>
      <xdr:rowOff>85726</xdr:rowOff>
    </xdr:from>
    <xdr:to>
      <xdr:col>10</xdr:col>
      <xdr:colOff>447675</xdr:colOff>
      <xdr:row>0</xdr:row>
      <xdr:rowOff>428626</xdr:rowOff>
    </xdr:to>
    <xdr:sp macro="[0]!ke_Menu" textlink="">
      <xdr:nvSpPr>
        <xdr:cNvPr id="2" name="Rounded Rectangle 1"/>
        <xdr:cNvSpPr/>
      </xdr:nvSpPr>
      <xdr:spPr>
        <a:xfrm>
          <a:off x="8334375" y="85726"/>
          <a:ext cx="981075" cy="342900"/>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962026</xdr:colOff>
      <xdr:row>0</xdr:row>
      <xdr:rowOff>114300</xdr:rowOff>
    </xdr:from>
    <xdr:to>
      <xdr:col>15</xdr:col>
      <xdr:colOff>257176</xdr:colOff>
      <xdr:row>1</xdr:row>
      <xdr:rowOff>0</xdr:rowOff>
    </xdr:to>
    <xdr:sp macro="[0]!ke_Menu" textlink="">
      <xdr:nvSpPr>
        <xdr:cNvPr id="2" name="Rounded Rectangle 1"/>
        <xdr:cNvSpPr/>
      </xdr:nvSpPr>
      <xdr:spPr>
        <a:xfrm>
          <a:off x="8277226" y="114300"/>
          <a:ext cx="876300" cy="30480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276226</xdr:colOff>
      <xdr:row>0</xdr:row>
      <xdr:rowOff>85725</xdr:rowOff>
    </xdr:from>
    <xdr:to>
      <xdr:col>13</xdr:col>
      <xdr:colOff>457201</xdr:colOff>
      <xdr:row>2</xdr:row>
      <xdr:rowOff>57150</xdr:rowOff>
    </xdr:to>
    <xdr:sp macro="[0]!ke_Menu" textlink="">
      <xdr:nvSpPr>
        <xdr:cNvPr id="2" name="Rounded Rectangle 1"/>
        <xdr:cNvSpPr/>
      </xdr:nvSpPr>
      <xdr:spPr>
        <a:xfrm>
          <a:off x="7277101" y="85725"/>
          <a:ext cx="952500" cy="371475"/>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171450</xdr:colOff>
      <xdr:row>0</xdr:row>
      <xdr:rowOff>142875</xdr:rowOff>
    </xdr:from>
    <xdr:to>
      <xdr:col>14</xdr:col>
      <xdr:colOff>542925</xdr:colOff>
      <xdr:row>1</xdr:row>
      <xdr:rowOff>85725</xdr:rowOff>
    </xdr:to>
    <xdr:sp macro="[0]!ke_Menu" textlink="">
      <xdr:nvSpPr>
        <xdr:cNvPr id="2" name="Rounded Rectangle 1"/>
        <xdr:cNvSpPr/>
      </xdr:nvSpPr>
      <xdr:spPr>
        <a:xfrm>
          <a:off x="8258175" y="142875"/>
          <a:ext cx="981075" cy="371475"/>
        </a:xfrm>
        <a:prstGeom prst="round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400" b="1">
              <a:solidFill>
                <a:schemeClr val="tx1"/>
              </a:solidFill>
            </a:rPr>
            <a:t>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NPT/2014/data/Format%20Penilaian%20Program%20Studi%202014-09-19/PANEL_Nama%20Perg%20Tinggi_Nama%20Program%20Studi_SARJANA_Nama%20Assessor_RNo%20urut%20Revisi_v2014-09-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F1"/>
      <sheetName val="hitung_F1"/>
      <sheetName val="F2"/>
      <sheetName val="F3"/>
      <sheetName val="hitung_F3"/>
      <sheetName val="F4"/>
      <sheetName val="F5"/>
      <sheetName val="F6"/>
      <sheetName val="F7"/>
      <sheetName val="F8"/>
      <sheetName val="F9"/>
      <sheetName val="nilai_akhir"/>
      <sheetName val="REKAP AK Terbobot"/>
    </sheetNames>
    <sheetDataSet>
      <sheetData sheetId="0" refreshError="1"/>
      <sheetData sheetId="1">
        <row r="5">
          <cell r="D5" t="str">
            <v>Univ.</v>
          </cell>
        </row>
        <row r="9">
          <cell r="D9" t="str">
            <v>Dr. Asesor</v>
          </cell>
        </row>
      </sheetData>
      <sheetData sheetId="2" refreshError="1"/>
      <sheetData sheetId="3">
        <row r="16">
          <cell r="H16">
            <v>92.5</v>
          </cell>
        </row>
      </sheetData>
      <sheetData sheetId="4">
        <row r="14">
          <cell r="I14">
            <v>17.013000000000002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4"/>
  <dimension ref="A1:Q26"/>
  <sheetViews>
    <sheetView workbookViewId="0">
      <selection activeCell="R4" sqref="R4"/>
    </sheetView>
  </sheetViews>
  <sheetFormatPr defaultRowHeight="15"/>
  <cols>
    <col min="2" max="2" width="6.7109375" customWidth="1"/>
    <col min="5" max="5" width="8.85546875" customWidth="1"/>
    <col min="6" max="6" width="4.85546875" customWidth="1"/>
    <col min="8" max="8" width="9" customWidth="1"/>
    <col min="9" max="9" width="3.7109375" customWidth="1"/>
    <col min="10" max="10" width="7.5703125" customWidth="1"/>
    <col min="11" max="11" width="6.28515625" customWidth="1"/>
    <col min="12" max="12" width="2.5703125" customWidth="1"/>
    <col min="13" max="13" width="10.42578125" customWidth="1"/>
    <col min="14" max="14" width="7.42578125" customWidth="1"/>
    <col min="15" max="15" width="20.42578125" customWidth="1"/>
  </cols>
  <sheetData>
    <row r="1" spans="1:17">
      <c r="A1" s="784" t="s">
        <v>881</v>
      </c>
      <c r="B1" s="784"/>
      <c r="C1" s="208"/>
      <c r="D1" s="208"/>
      <c r="E1" s="208"/>
      <c r="F1" s="208"/>
      <c r="G1" s="208"/>
      <c r="H1" s="208"/>
      <c r="I1" s="208"/>
      <c r="J1" s="208"/>
      <c r="K1" s="208"/>
      <c r="L1" s="208"/>
      <c r="M1" s="208"/>
      <c r="N1" s="208"/>
      <c r="O1" s="208"/>
      <c r="P1" s="208"/>
      <c r="Q1" s="208"/>
    </row>
    <row r="2" spans="1:17" ht="15" customHeight="1">
      <c r="A2" s="784"/>
      <c r="B2" s="784"/>
      <c r="C2" s="208"/>
      <c r="D2" s="208"/>
      <c r="E2" s="208"/>
      <c r="F2" s="782" t="s">
        <v>942</v>
      </c>
      <c r="G2" s="782"/>
      <c r="H2" s="782"/>
      <c r="I2" s="782"/>
      <c r="J2" s="782"/>
      <c r="K2" s="782"/>
      <c r="L2" s="782"/>
      <c r="M2" s="782"/>
      <c r="N2" s="208"/>
      <c r="O2" s="208"/>
      <c r="P2" s="208"/>
      <c r="Q2" s="208"/>
    </row>
    <row r="3" spans="1:17" ht="15" customHeight="1">
      <c r="A3" s="208"/>
      <c r="B3" s="208"/>
      <c r="C3" s="208"/>
      <c r="D3" s="208"/>
      <c r="E3" s="208"/>
      <c r="F3" s="782"/>
      <c r="G3" s="782"/>
      <c r="H3" s="782"/>
      <c r="I3" s="782"/>
      <c r="J3" s="782"/>
      <c r="K3" s="782"/>
      <c r="L3" s="782"/>
      <c r="M3" s="782"/>
      <c r="N3" s="208"/>
      <c r="O3" s="208"/>
      <c r="P3" s="208"/>
      <c r="Q3" s="208"/>
    </row>
    <row r="4" spans="1:17" ht="15" customHeight="1">
      <c r="A4" s="208"/>
      <c r="B4" s="208"/>
      <c r="C4" s="208"/>
      <c r="D4" s="208"/>
      <c r="E4" s="208"/>
      <c r="F4" s="782"/>
      <c r="G4" s="782"/>
      <c r="H4" s="782"/>
      <c r="I4" s="782"/>
      <c r="J4" s="782"/>
      <c r="K4" s="782"/>
      <c r="L4" s="782"/>
      <c r="M4" s="782"/>
      <c r="N4" s="208"/>
      <c r="O4" s="208"/>
      <c r="P4" s="208"/>
      <c r="Q4" s="208"/>
    </row>
    <row r="5" spans="1:17" ht="15" customHeight="1">
      <c r="A5" s="208"/>
      <c r="B5" s="208"/>
      <c r="C5" s="208"/>
      <c r="D5" s="208"/>
      <c r="E5" s="208"/>
      <c r="F5" s="214"/>
      <c r="G5" s="214"/>
      <c r="H5" s="214"/>
      <c r="I5" s="214"/>
      <c r="J5" s="214"/>
      <c r="K5" s="214"/>
      <c r="L5" s="214"/>
      <c r="M5" s="208"/>
      <c r="N5" s="208"/>
      <c r="O5" s="208"/>
      <c r="P5" s="208"/>
      <c r="Q5" s="208"/>
    </row>
    <row r="6" spans="1:17">
      <c r="A6" s="208"/>
      <c r="B6" s="208"/>
      <c r="C6" s="208"/>
      <c r="D6" s="208"/>
      <c r="E6" s="208"/>
      <c r="F6" s="208"/>
      <c r="G6" s="208"/>
      <c r="H6" s="208"/>
      <c r="I6" s="208"/>
      <c r="J6" s="208"/>
      <c r="K6" s="208"/>
      <c r="L6" s="208"/>
      <c r="M6" s="208"/>
      <c r="N6" s="208"/>
      <c r="O6" s="208"/>
      <c r="P6" s="208"/>
      <c r="Q6" s="208"/>
    </row>
    <row r="7" spans="1:17" ht="15" customHeight="1">
      <c r="A7" s="208"/>
      <c r="B7" s="208"/>
      <c r="C7" s="208"/>
      <c r="D7" s="208"/>
      <c r="E7" s="208"/>
      <c r="F7" s="208"/>
      <c r="G7" s="208"/>
      <c r="H7" s="208"/>
      <c r="I7" s="781" t="s">
        <v>139</v>
      </c>
      <c r="J7" s="781"/>
      <c r="K7" s="781"/>
      <c r="L7" s="781" t="s">
        <v>941</v>
      </c>
      <c r="M7" s="781"/>
      <c r="N7" s="781"/>
      <c r="O7" s="208"/>
      <c r="P7" s="208"/>
      <c r="Q7" s="208"/>
    </row>
    <row r="8" spans="1:17" ht="18.75" customHeight="1">
      <c r="A8" s="208"/>
      <c r="B8" s="208"/>
      <c r="C8" s="629"/>
      <c r="D8" s="783" t="s">
        <v>138</v>
      </c>
      <c r="E8" s="783"/>
      <c r="F8" s="212"/>
      <c r="G8" s="213" t="s">
        <v>137</v>
      </c>
      <c r="H8" s="212"/>
      <c r="I8" s="781"/>
      <c r="J8" s="781"/>
      <c r="K8" s="781"/>
      <c r="L8" s="781"/>
      <c r="M8" s="781"/>
      <c r="N8" s="781"/>
      <c r="O8" s="211"/>
      <c r="P8" s="208"/>
      <c r="Q8" s="208"/>
    </row>
    <row r="9" spans="1:17">
      <c r="A9" s="208"/>
      <c r="B9" s="208"/>
      <c r="C9" s="208"/>
      <c r="D9" s="208"/>
      <c r="E9" s="208"/>
      <c r="F9" s="208"/>
      <c r="G9" s="208"/>
      <c r="H9" s="208"/>
      <c r="I9" s="208"/>
      <c r="J9" s="208"/>
      <c r="K9" s="208"/>
      <c r="L9" s="208"/>
      <c r="M9" s="208"/>
      <c r="N9" s="208"/>
      <c r="O9" s="208"/>
      <c r="P9" s="208"/>
      <c r="Q9" s="208"/>
    </row>
    <row r="10" spans="1:17">
      <c r="A10" s="208"/>
      <c r="B10" s="208"/>
      <c r="C10" s="208"/>
      <c r="D10" s="208"/>
      <c r="E10" s="208"/>
      <c r="F10" s="208"/>
      <c r="G10" s="208"/>
      <c r="H10" s="210"/>
      <c r="I10" s="208"/>
      <c r="J10" s="208"/>
      <c r="K10" s="208"/>
      <c r="L10" s="208"/>
      <c r="M10" s="208"/>
      <c r="N10" s="208"/>
      <c r="O10" s="208"/>
      <c r="P10" s="208"/>
      <c r="Q10" s="208"/>
    </row>
    <row r="11" spans="1:17">
      <c r="A11" s="208"/>
      <c r="B11" s="208"/>
      <c r="C11" s="208"/>
      <c r="D11" s="208"/>
      <c r="E11" s="208"/>
      <c r="F11" s="208"/>
      <c r="G11" s="208"/>
      <c r="H11" s="208"/>
      <c r="I11" s="208"/>
      <c r="J11" s="208"/>
      <c r="K11" s="208"/>
      <c r="L11" s="208"/>
      <c r="M11" s="208"/>
      <c r="N11" s="208"/>
      <c r="O11" s="208"/>
      <c r="P11" s="208"/>
      <c r="Q11" s="208"/>
    </row>
    <row r="12" spans="1:17">
      <c r="A12" s="208"/>
      <c r="B12" s="208"/>
      <c r="C12" s="208"/>
      <c r="D12" s="208"/>
      <c r="E12" s="208"/>
      <c r="F12" s="208"/>
      <c r="G12" s="208"/>
      <c r="H12" s="208"/>
      <c r="I12" s="208"/>
      <c r="J12" s="208"/>
      <c r="K12" s="208"/>
      <c r="L12" s="208"/>
      <c r="M12" s="208"/>
      <c r="N12" s="208"/>
      <c r="O12" s="208"/>
      <c r="P12" s="208"/>
      <c r="Q12" s="209"/>
    </row>
    <row r="13" spans="1:17">
      <c r="A13" s="208"/>
      <c r="B13" s="208"/>
      <c r="C13" s="208"/>
      <c r="D13" s="208"/>
      <c r="E13" s="208"/>
      <c r="F13" s="208"/>
      <c r="G13" s="208"/>
      <c r="H13" s="208"/>
      <c r="I13" s="208"/>
      <c r="J13" s="208"/>
      <c r="K13" s="208"/>
      <c r="L13" s="208"/>
      <c r="M13" s="208"/>
      <c r="N13" s="208"/>
      <c r="O13" s="208"/>
      <c r="P13" s="208"/>
      <c r="Q13" s="208"/>
    </row>
    <row r="14" spans="1:17">
      <c r="A14" s="208"/>
      <c r="B14" s="208"/>
      <c r="C14" s="208"/>
      <c r="D14" s="208"/>
      <c r="E14" s="208"/>
      <c r="F14" s="208"/>
      <c r="G14" s="208"/>
      <c r="H14" s="208"/>
      <c r="I14" s="208"/>
      <c r="J14" s="208"/>
      <c r="K14" s="208"/>
      <c r="L14" s="208"/>
      <c r="M14" s="208"/>
      <c r="N14" s="208"/>
      <c r="O14" s="208"/>
      <c r="P14" s="208"/>
      <c r="Q14" s="208"/>
    </row>
    <row r="15" spans="1:17">
      <c r="A15" s="208"/>
      <c r="B15" s="208"/>
      <c r="C15" s="208"/>
      <c r="D15" s="208"/>
      <c r="E15" s="208"/>
      <c r="F15" s="208"/>
      <c r="G15" s="208"/>
      <c r="H15" s="208"/>
      <c r="I15" s="208"/>
      <c r="J15" s="208"/>
      <c r="K15" s="208"/>
      <c r="L15" s="208"/>
      <c r="M15" s="208"/>
      <c r="N15" s="208"/>
      <c r="O15" s="208"/>
      <c r="P15" s="208"/>
      <c r="Q15" s="208"/>
    </row>
    <row r="16" spans="1:17">
      <c r="A16" s="208"/>
      <c r="B16" s="208"/>
      <c r="C16" s="208"/>
      <c r="D16" s="208"/>
      <c r="E16" s="208"/>
      <c r="F16" s="208"/>
      <c r="G16" s="208"/>
      <c r="H16" s="208"/>
      <c r="I16" s="208"/>
      <c r="J16" s="208"/>
      <c r="K16" s="208"/>
      <c r="L16" s="208"/>
      <c r="M16" s="208"/>
      <c r="N16" s="208"/>
      <c r="O16" s="208"/>
      <c r="P16" s="208"/>
      <c r="Q16" s="208"/>
    </row>
    <row r="17" spans="1:17">
      <c r="A17" s="208"/>
      <c r="B17" s="208"/>
      <c r="C17" s="208"/>
      <c r="D17" s="208"/>
      <c r="E17" s="208"/>
      <c r="F17" s="208"/>
      <c r="G17" s="208"/>
      <c r="H17" s="208"/>
      <c r="I17" s="208"/>
      <c r="J17" s="208"/>
      <c r="K17" s="208"/>
      <c r="L17" s="208"/>
      <c r="M17" s="208"/>
      <c r="N17" s="208"/>
      <c r="O17" s="208"/>
      <c r="P17" s="208"/>
      <c r="Q17" s="208"/>
    </row>
    <row r="18" spans="1:17">
      <c r="A18" s="208"/>
      <c r="B18" s="208"/>
      <c r="C18" s="208"/>
      <c r="D18" s="208"/>
      <c r="E18" s="208"/>
      <c r="F18" s="208"/>
      <c r="G18" s="208"/>
      <c r="H18" s="208"/>
      <c r="I18" s="208"/>
      <c r="J18" s="208"/>
      <c r="K18" s="208"/>
      <c r="L18" s="208"/>
      <c r="M18" s="208"/>
      <c r="N18" s="208"/>
      <c r="O18" s="208"/>
      <c r="P18" s="208"/>
      <c r="Q18" s="208"/>
    </row>
    <row r="19" spans="1:17">
      <c r="A19" s="208"/>
      <c r="B19" s="208"/>
      <c r="C19" s="208"/>
      <c r="D19" s="208"/>
      <c r="E19" s="208"/>
      <c r="F19" s="208"/>
      <c r="G19" s="208"/>
      <c r="H19" s="208"/>
      <c r="I19" s="208"/>
      <c r="J19" s="208"/>
      <c r="K19" s="208"/>
      <c r="L19" s="208"/>
      <c r="M19" s="208"/>
      <c r="N19" s="208"/>
      <c r="O19" s="208"/>
      <c r="P19" s="208"/>
      <c r="Q19" s="208"/>
    </row>
    <row r="20" spans="1:17">
      <c r="A20" s="208"/>
      <c r="B20" s="208"/>
      <c r="C20" s="208"/>
      <c r="D20" s="208"/>
      <c r="E20" s="208"/>
      <c r="F20" s="208"/>
      <c r="G20" s="208"/>
      <c r="H20" s="208"/>
      <c r="I20" s="208"/>
      <c r="J20" s="208"/>
      <c r="K20" s="208"/>
      <c r="L20" s="208"/>
      <c r="M20" s="208"/>
      <c r="N20" s="208"/>
      <c r="O20" s="208"/>
      <c r="P20" s="208"/>
      <c r="Q20" s="208"/>
    </row>
    <row r="21" spans="1:17">
      <c r="A21" s="208"/>
      <c r="B21" s="208"/>
      <c r="C21" s="208"/>
      <c r="D21" s="208"/>
      <c r="E21" s="208"/>
      <c r="F21" s="208"/>
      <c r="G21" s="208"/>
      <c r="H21" s="208"/>
      <c r="I21" s="208"/>
      <c r="J21" s="208"/>
      <c r="K21" s="208"/>
      <c r="L21" s="208"/>
      <c r="M21" s="208"/>
      <c r="N21" s="208"/>
      <c r="O21" s="208"/>
      <c r="P21" s="208"/>
      <c r="Q21" s="208"/>
    </row>
    <row r="22" spans="1:17">
      <c r="A22" s="208"/>
      <c r="B22" s="208"/>
      <c r="C22" s="208"/>
      <c r="D22" s="208"/>
      <c r="E22" s="208"/>
      <c r="F22" s="208"/>
      <c r="G22" s="208"/>
      <c r="H22" s="208"/>
      <c r="I22" s="208"/>
      <c r="J22" s="208"/>
      <c r="K22" s="208"/>
      <c r="L22" s="208"/>
      <c r="M22" s="208"/>
      <c r="N22" s="208"/>
      <c r="O22" s="208"/>
      <c r="P22" s="208"/>
      <c r="Q22" s="208"/>
    </row>
    <row r="23" spans="1:17">
      <c r="A23" s="208"/>
      <c r="B23" s="208"/>
      <c r="C23" s="208"/>
      <c r="D23" s="208"/>
      <c r="E23" s="208"/>
      <c r="F23" s="208"/>
      <c r="G23" s="208"/>
      <c r="H23" s="208"/>
      <c r="I23" s="208"/>
      <c r="J23" s="208"/>
      <c r="K23" s="208"/>
      <c r="L23" s="208"/>
      <c r="M23" s="208"/>
      <c r="N23" s="208"/>
      <c r="O23" s="208"/>
      <c r="P23" s="208"/>
      <c r="Q23" s="208"/>
    </row>
    <row r="24" spans="1:17">
      <c r="A24" s="674" t="s">
        <v>992</v>
      </c>
      <c r="B24" s="208"/>
      <c r="C24" s="208"/>
      <c r="D24" s="208"/>
      <c r="E24" s="208"/>
      <c r="F24" s="208"/>
      <c r="G24" s="208"/>
      <c r="H24" s="208"/>
      <c r="I24" s="208"/>
      <c r="J24" s="208"/>
      <c r="K24" s="208"/>
      <c r="L24" s="208"/>
      <c r="M24" s="208"/>
      <c r="N24" s="208"/>
      <c r="O24" s="208"/>
      <c r="P24" s="208"/>
      <c r="Q24" s="208"/>
    </row>
    <row r="25" spans="1:17">
      <c r="A25" s="208"/>
      <c r="B25" s="208"/>
      <c r="C25" s="208"/>
      <c r="D25" s="208"/>
      <c r="E25" s="208"/>
      <c r="F25" s="208"/>
      <c r="G25" s="208"/>
      <c r="H25" s="208"/>
      <c r="I25" s="208"/>
      <c r="J25" s="208"/>
      <c r="K25" s="208"/>
      <c r="L25" s="208"/>
      <c r="M25" s="208"/>
      <c r="N25" s="208"/>
      <c r="O25" s="208"/>
      <c r="P25" s="208"/>
      <c r="Q25" s="208"/>
    </row>
    <row r="26" spans="1:17">
      <c r="A26" s="208"/>
      <c r="B26" s="208"/>
      <c r="C26" s="208"/>
      <c r="D26" s="208"/>
      <c r="E26" s="208"/>
      <c r="F26" s="208"/>
      <c r="G26" s="208"/>
      <c r="H26" s="208"/>
      <c r="I26" s="208"/>
      <c r="J26" s="208"/>
      <c r="K26" s="208"/>
      <c r="L26" s="208"/>
      <c r="M26" s="208"/>
      <c r="N26" s="208"/>
      <c r="O26" s="208"/>
      <c r="P26" s="208"/>
      <c r="Q26" s="208"/>
    </row>
  </sheetData>
  <sheetProtection sheet="1" objects="1" scenarios="1" selectLockedCells="1" selectUnlockedCells="1"/>
  <mergeCells count="5">
    <mergeCell ref="I7:K8"/>
    <mergeCell ref="L7:N8"/>
    <mergeCell ref="F2:M4"/>
    <mergeCell ref="D8:E8"/>
    <mergeCell ref="A1:B2"/>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sheetPr codeName="Sheet12"/>
  <dimension ref="A1:P117"/>
  <sheetViews>
    <sheetView topLeftCell="A95" workbookViewId="0">
      <selection activeCell="G10" sqref="G10"/>
    </sheetView>
  </sheetViews>
  <sheetFormatPr defaultRowHeight="15"/>
  <cols>
    <col min="1" max="2" width="9.140625" style="3"/>
    <col min="3" max="3" width="9.140625" style="7"/>
    <col min="4" max="4" width="5.85546875" customWidth="1"/>
    <col min="5" max="6" width="9.140625" style="3"/>
    <col min="8" max="8" width="10.140625" style="3" customWidth="1"/>
    <col min="9" max="9" width="6.28515625" style="3" customWidth="1"/>
    <col min="10" max="12" width="9.140625" style="3"/>
    <col min="13" max="13" width="5.28515625" style="3" customWidth="1"/>
    <col min="14" max="15" width="9.140625" style="3"/>
  </cols>
  <sheetData>
    <row r="1" spans="1:16" ht="21">
      <c r="A1" s="164" t="s">
        <v>38</v>
      </c>
      <c r="B1" s="164"/>
      <c r="C1" s="57"/>
      <c r="D1" s="58"/>
      <c r="E1" s="59"/>
      <c r="F1" s="59"/>
      <c r="G1" s="60"/>
      <c r="H1" s="60"/>
      <c r="I1" s="61"/>
      <c r="J1"/>
      <c r="K1"/>
      <c r="L1"/>
      <c r="M1"/>
      <c r="N1"/>
      <c r="O1"/>
    </row>
    <row r="2" spans="1:16" ht="15" customHeight="1">
      <c r="A2" s="73"/>
      <c r="B2" s="73"/>
      <c r="C2" s="64"/>
      <c r="D2" s="65"/>
      <c r="E2" s="61"/>
      <c r="F2" s="61"/>
      <c r="G2" s="66"/>
      <c r="H2" s="66"/>
      <c r="I2" s="61"/>
      <c r="J2"/>
      <c r="K2"/>
      <c r="L2"/>
      <c r="M2"/>
      <c r="N2"/>
      <c r="O2"/>
    </row>
    <row r="3" spans="1:16" ht="15" customHeight="1">
      <c r="A3" s="63" t="s">
        <v>39</v>
      </c>
      <c r="B3" s="63"/>
      <c r="C3" s="64"/>
      <c r="D3" s="65"/>
      <c r="E3" s="61"/>
      <c r="F3" s="61"/>
      <c r="G3" s="66"/>
      <c r="H3" s="66"/>
      <c r="I3" s="61"/>
      <c r="J3"/>
      <c r="K3"/>
      <c r="L3"/>
      <c r="M3"/>
      <c r="N3"/>
      <c r="O3"/>
    </row>
    <row r="4" spans="1:16" ht="15" customHeight="1">
      <c r="A4" s="73"/>
      <c r="B4" s="73"/>
      <c r="C4" s="64"/>
      <c r="D4" s="65"/>
      <c r="E4" s="61"/>
      <c r="F4" s="61"/>
      <c r="G4" s="66"/>
      <c r="H4" s="66"/>
      <c r="I4" s="61"/>
      <c r="J4"/>
      <c r="K4"/>
      <c r="L4"/>
      <c r="M4"/>
      <c r="N4"/>
      <c r="O4"/>
    </row>
    <row r="5" spans="1:16" ht="15" customHeight="1">
      <c r="A5" s="1096" t="str">
        <f>'F1'!A5:C5</f>
        <v>Nama Perguruan Tinggi:</v>
      </c>
      <c r="B5" s="1096"/>
      <c r="C5" s="1096"/>
      <c r="D5" s="669"/>
      <c r="E5" s="1102" t="str">
        <f>'F1'!D5</f>
        <v>Nama Perguruan Tinggi</v>
      </c>
      <c r="F5" s="1102"/>
      <c r="G5" s="1102"/>
      <c r="H5" s="1102"/>
      <c r="I5" s="1102"/>
      <c r="J5"/>
      <c r="K5"/>
      <c r="L5"/>
      <c r="M5"/>
      <c r="N5"/>
      <c r="O5"/>
    </row>
    <row r="6" spans="1:16" ht="15" customHeight="1">
      <c r="A6" s="1096" t="str">
        <f>'F1'!A6:C6</f>
        <v>Nama Asesor:</v>
      </c>
      <c r="B6" s="1096"/>
      <c r="C6" s="1096"/>
      <c r="D6" s="669"/>
      <c r="E6" s="1101" t="str">
        <f>'F1'!D6</f>
        <v>Nama Asesor</v>
      </c>
      <c r="F6" s="1101"/>
      <c r="G6" s="1101"/>
      <c r="H6" s="1101"/>
      <c r="I6" s="1101"/>
      <c r="J6"/>
      <c r="K6"/>
      <c r="L6"/>
      <c r="M6"/>
      <c r="N6"/>
      <c r="O6"/>
    </row>
    <row r="7" spans="1:16" ht="15" customHeight="1">
      <c r="A7" s="1105" t="s">
        <v>15</v>
      </c>
      <c r="B7" s="1105"/>
      <c r="C7" s="1105"/>
      <c r="D7" s="670"/>
      <c r="E7" s="166" t="s">
        <v>140</v>
      </c>
      <c r="F7" s="166"/>
      <c r="G7" s="69"/>
      <c r="H7" s="69"/>
      <c r="I7" s="61"/>
      <c r="J7"/>
      <c r="K7"/>
      <c r="L7"/>
      <c r="M7"/>
      <c r="N7"/>
      <c r="O7"/>
    </row>
    <row r="8" spans="1:16" ht="15" customHeight="1">
      <c r="A8" s="1096" t="str">
        <f>'F1'!A7:C7</f>
        <v>Kode Panel</v>
      </c>
      <c r="B8" s="1096"/>
      <c r="C8" s="1096"/>
      <c r="D8" s="669"/>
      <c r="E8" s="1101" t="str">
        <f>'F1'!D7</f>
        <v>P019</v>
      </c>
      <c r="F8" s="1101"/>
      <c r="G8" s="165"/>
      <c r="H8" s="165"/>
      <c r="I8" s="61"/>
      <c r="J8"/>
      <c r="K8"/>
      <c r="L8"/>
      <c r="M8"/>
      <c r="N8"/>
      <c r="O8"/>
    </row>
    <row r="9" spans="1:16" ht="15" customHeight="1">
      <c r="A9" s="1105" t="s">
        <v>917</v>
      </c>
      <c r="B9" s="1105"/>
      <c r="C9" s="1105"/>
      <c r="D9" s="670"/>
      <c r="E9" s="1100" t="s">
        <v>141</v>
      </c>
      <c r="F9" s="1100"/>
      <c r="G9" s="69"/>
      <c r="H9" s="69"/>
      <c r="I9" s="61"/>
      <c r="J9"/>
      <c r="K9"/>
      <c r="L9"/>
      <c r="M9"/>
      <c r="N9"/>
      <c r="O9"/>
    </row>
    <row r="10" spans="1:16" ht="15.75">
      <c r="A10" s="1096" t="str">
        <f>'F1'!A8:C8</f>
        <v>Tanggal Penilaian</v>
      </c>
      <c r="B10" s="1096"/>
      <c r="C10" s="1096"/>
      <c r="D10" s="669"/>
      <c r="E10" s="1101" t="str">
        <f>'F1'!D8</f>
        <v>16-18 April 2015</v>
      </c>
      <c r="F10" s="1101"/>
      <c r="G10" s="165" t="s">
        <v>1018</v>
      </c>
      <c r="H10" s="165"/>
      <c r="I10" s="61"/>
      <c r="J10"/>
      <c r="K10"/>
      <c r="L10"/>
      <c r="M10"/>
      <c r="N10"/>
      <c r="O10"/>
    </row>
    <row r="11" spans="1:16" ht="15" customHeight="1">
      <c r="A11" s="52"/>
      <c r="B11" s="52"/>
      <c r="C11" s="78"/>
      <c r="D11" s="50"/>
    </row>
    <row r="12" spans="1:16" ht="15" customHeight="1">
      <c r="A12" s="1106" t="s">
        <v>7</v>
      </c>
      <c r="B12" s="1106"/>
      <c r="C12" s="1106"/>
      <c r="D12" s="1106"/>
      <c r="E12" s="1106"/>
      <c r="F12" s="1106"/>
      <c r="G12" s="1106"/>
      <c r="J12" s="1106" t="s">
        <v>8</v>
      </c>
      <c r="K12" s="1106"/>
      <c r="L12" s="1106"/>
      <c r="M12" s="1106"/>
      <c r="N12" s="1106"/>
      <c r="O12" s="1106"/>
      <c r="P12" s="1106"/>
    </row>
    <row r="13" spans="1:16">
      <c r="D13" s="10"/>
      <c r="M13" s="40"/>
    </row>
    <row r="14" spans="1:16" ht="15.75">
      <c r="A14" s="1097" t="s">
        <v>99</v>
      </c>
      <c r="B14" s="1107" t="s">
        <v>919</v>
      </c>
      <c r="C14" s="1107"/>
      <c r="D14" s="570"/>
      <c r="E14" s="1097" t="s">
        <v>99</v>
      </c>
      <c r="F14" s="1098" t="s">
        <v>142</v>
      </c>
      <c r="G14" s="1099"/>
      <c r="J14" s="1097" t="s">
        <v>99</v>
      </c>
      <c r="K14" s="1108" t="s">
        <v>918</v>
      </c>
      <c r="L14" s="1108"/>
      <c r="M14" s="40"/>
      <c r="N14" s="1097" t="s">
        <v>99</v>
      </c>
      <c r="O14" s="1103" t="s">
        <v>922</v>
      </c>
      <c r="P14" s="1104"/>
    </row>
    <row r="15" spans="1:16">
      <c r="A15" s="1097"/>
      <c r="B15" s="572" t="s">
        <v>0</v>
      </c>
      <c r="C15" s="572" t="s">
        <v>37</v>
      </c>
      <c r="D15" s="570"/>
      <c r="E15" s="1097"/>
      <c r="F15" s="31" t="s">
        <v>0</v>
      </c>
      <c r="G15" s="31" t="s">
        <v>37</v>
      </c>
      <c r="J15" s="1097"/>
      <c r="K15" s="572" t="s">
        <v>0</v>
      </c>
      <c r="L15" s="572" t="s">
        <v>37</v>
      </c>
      <c r="M15" s="40"/>
      <c r="N15" s="1097"/>
      <c r="O15" s="31" t="s">
        <v>0</v>
      </c>
      <c r="P15" s="31" t="s">
        <v>37</v>
      </c>
    </row>
    <row r="16" spans="1:16">
      <c r="A16" s="32">
        <v>1</v>
      </c>
      <c r="B16" s="45">
        <f>'F1'!F12</f>
        <v>2.375</v>
      </c>
      <c r="C16" s="43">
        <f>'F1'!H12</f>
        <v>2.09</v>
      </c>
      <c r="D16" s="167"/>
      <c r="E16" s="32" t="s">
        <v>102</v>
      </c>
      <c r="F16" s="45">
        <f>hitung_F2!E10</f>
        <v>3.25</v>
      </c>
      <c r="G16" s="45">
        <f>'F2'!G10</f>
        <v>40.625</v>
      </c>
      <c r="J16" s="32">
        <v>1</v>
      </c>
      <c r="K16" s="45">
        <f>'F4'!I11</f>
        <v>3.5</v>
      </c>
      <c r="L16" s="45">
        <f>'F4'!N11</f>
        <v>3.08</v>
      </c>
      <c r="M16" s="592"/>
      <c r="N16" s="32" t="s">
        <v>102</v>
      </c>
      <c r="O16" s="45">
        <f>'F5'!H10</f>
        <v>4</v>
      </c>
      <c r="P16" s="48">
        <f>'F5'!M10</f>
        <v>50</v>
      </c>
    </row>
    <row r="17" spans="1:16">
      <c r="A17" s="32">
        <f>A16+1</f>
        <v>2</v>
      </c>
      <c r="B17" s="45">
        <f>'F1'!F13</f>
        <v>1.1666666666666667</v>
      </c>
      <c r="C17" s="43">
        <f>'F1'!H13</f>
        <v>0.51333333333333342</v>
      </c>
      <c r="D17" s="167"/>
      <c r="E17" s="32" t="s">
        <v>101</v>
      </c>
      <c r="F17" s="45">
        <f>hitung_F2!E17</f>
        <v>4</v>
      </c>
      <c r="G17" s="45">
        <f>'F2'!G11</f>
        <v>50</v>
      </c>
      <c r="J17" s="32">
        <f>J16+1</f>
        <v>2</v>
      </c>
      <c r="K17" s="45">
        <f>'F4'!I12</f>
        <v>3.25</v>
      </c>
      <c r="L17" s="45">
        <f>'F4'!N12</f>
        <v>1.43</v>
      </c>
      <c r="M17" s="592"/>
      <c r="N17" s="32" t="s">
        <v>101</v>
      </c>
      <c r="O17" s="45">
        <f>'F5'!H11</f>
        <v>1.8</v>
      </c>
      <c r="P17" s="48">
        <f>'F5'!M11</f>
        <v>22.5</v>
      </c>
    </row>
    <row r="18" spans="1:16">
      <c r="A18" s="32">
        <f t="shared" ref="A18:A81" si="0">A17+1</f>
        <v>3</v>
      </c>
      <c r="B18" s="45">
        <f>'F1'!F14</f>
        <v>2</v>
      </c>
      <c r="C18" s="43">
        <f>'F1'!H14</f>
        <v>0.88</v>
      </c>
      <c r="D18" s="167"/>
      <c r="E18" s="32" t="s">
        <v>103</v>
      </c>
      <c r="F18" s="45">
        <f>hitung_F2!E25</f>
        <v>3</v>
      </c>
      <c r="G18" s="45">
        <f>'F2'!G13</f>
        <v>22.5</v>
      </c>
      <c r="J18" s="32">
        <f t="shared" ref="J18:J81" si="1">J17+1</f>
        <v>3</v>
      </c>
      <c r="K18" s="45">
        <f>'F4'!I13</f>
        <v>3.1666666666666665</v>
      </c>
      <c r="L18" s="45">
        <f>'F4'!N13</f>
        <v>1.3933333333333333</v>
      </c>
      <c r="M18" s="592"/>
      <c r="N18" s="32" t="s">
        <v>103</v>
      </c>
      <c r="O18" s="45">
        <f>'F5'!H13</f>
        <v>1.8</v>
      </c>
      <c r="P18" s="48">
        <f>'F5'!M13</f>
        <v>13.5</v>
      </c>
    </row>
    <row r="19" spans="1:16">
      <c r="A19" s="32">
        <f t="shared" si="0"/>
        <v>4</v>
      </c>
      <c r="B19" s="45">
        <f>'F1'!F15</f>
        <v>2.5</v>
      </c>
      <c r="C19" s="43">
        <f>'F1'!H15</f>
        <v>2.2000000000000002</v>
      </c>
      <c r="D19" s="167"/>
      <c r="E19" s="32" t="s">
        <v>104</v>
      </c>
      <c r="F19" s="45">
        <f>hitung_F2!E32</f>
        <v>3</v>
      </c>
      <c r="G19" s="45">
        <f>'F2'!G14</f>
        <v>22.5</v>
      </c>
      <c r="J19" s="32">
        <f t="shared" si="1"/>
        <v>4</v>
      </c>
      <c r="K19" s="45">
        <f>'F4'!I14</f>
        <v>3.125</v>
      </c>
      <c r="L19" s="45">
        <f>'F4'!N14</f>
        <v>2.75</v>
      </c>
      <c r="M19" s="592"/>
      <c r="N19" s="32" t="s">
        <v>104</v>
      </c>
      <c r="O19" s="45">
        <f>'F5'!H14</f>
        <v>1.6</v>
      </c>
      <c r="P19" s="48">
        <f>'F5'!M14</f>
        <v>12</v>
      </c>
    </row>
    <row r="20" spans="1:16">
      <c r="A20" s="32">
        <f t="shared" si="0"/>
        <v>5</v>
      </c>
      <c r="B20" s="45">
        <f>'F1'!F16</f>
        <v>0</v>
      </c>
      <c r="C20" s="43">
        <f>'F1'!H16</f>
        <v>0</v>
      </c>
      <c r="D20" s="167"/>
      <c r="E20" s="32" t="s">
        <v>105</v>
      </c>
      <c r="F20" s="45">
        <f>hitung_F2!E39</f>
        <v>3</v>
      </c>
      <c r="G20" s="45">
        <f>'F2'!G15</f>
        <v>22.5</v>
      </c>
      <c r="J20" s="32">
        <f t="shared" si="1"/>
        <v>5</v>
      </c>
      <c r="K20" s="45">
        <f>'F4'!I15</f>
        <v>3.1</v>
      </c>
      <c r="L20" s="45">
        <f>'F4'!N15</f>
        <v>4.5880000000000001</v>
      </c>
      <c r="M20" s="592"/>
      <c r="N20" s="32" t="s">
        <v>105</v>
      </c>
      <c r="O20" s="45">
        <f>'F5'!H15</f>
        <v>1.7</v>
      </c>
      <c r="P20" s="48">
        <f>'F5'!M15</f>
        <v>12.75</v>
      </c>
    </row>
    <row r="21" spans="1:16">
      <c r="A21" s="32">
        <f t="shared" si="0"/>
        <v>6</v>
      </c>
      <c r="B21" s="45">
        <f>'F1'!F17</f>
        <v>3</v>
      </c>
      <c r="C21" s="43">
        <f>'F1'!H17</f>
        <v>4.4399999999999995</v>
      </c>
      <c r="D21" s="167"/>
      <c r="E21" s="32" t="s">
        <v>106</v>
      </c>
      <c r="F21" s="45">
        <f>hitung_F2!E46</f>
        <v>3</v>
      </c>
      <c r="G21" s="45">
        <f>'F2'!G16</f>
        <v>22.5</v>
      </c>
      <c r="J21" s="32">
        <f t="shared" si="1"/>
        <v>6</v>
      </c>
      <c r="K21" s="45">
        <f>'F4'!I16</f>
        <v>3.25</v>
      </c>
      <c r="L21" s="45">
        <f>'F4'!N16</f>
        <v>4.8099999999999996</v>
      </c>
      <c r="M21" s="592"/>
      <c r="N21" s="32" t="s">
        <v>106</v>
      </c>
      <c r="O21" s="45">
        <f>'F5'!H16</f>
        <v>1.7</v>
      </c>
      <c r="P21" s="48">
        <f>'F5'!M16</f>
        <v>12.75</v>
      </c>
    </row>
    <row r="22" spans="1:16">
      <c r="A22" s="32">
        <f t="shared" si="0"/>
        <v>7</v>
      </c>
      <c r="B22" s="45">
        <f>'F1'!F18</f>
        <v>1</v>
      </c>
      <c r="C22" s="43">
        <f>'F1'!H18</f>
        <v>0.74</v>
      </c>
      <c r="D22" s="167"/>
      <c r="E22" s="32" t="s">
        <v>107</v>
      </c>
      <c r="F22" s="45">
        <f>hitung_F2!E54</f>
        <v>3</v>
      </c>
      <c r="G22" s="45">
        <f>'F2'!G18</f>
        <v>30</v>
      </c>
      <c r="J22" s="32">
        <f t="shared" si="1"/>
        <v>7</v>
      </c>
      <c r="K22" s="45">
        <f>'F4'!I17</f>
        <v>3.25</v>
      </c>
      <c r="L22" s="45">
        <f>'F4'!N17</f>
        <v>2.4049999999999998</v>
      </c>
      <c r="M22" s="592"/>
      <c r="N22" s="32" t="s">
        <v>107</v>
      </c>
      <c r="O22" s="45">
        <f>'F5'!H18</f>
        <v>1.75</v>
      </c>
      <c r="P22" s="48">
        <f>'F5'!M18</f>
        <v>17.5</v>
      </c>
    </row>
    <row r="23" spans="1:16">
      <c r="A23" s="32">
        <f t="shared" si="0"/>
        <v>8</v>
      </c>
      <c r="B23" s="45">
        <f>'F1'!F19</f>
        <v>2.75</v>
      </c>
      <c r="C23" s="43">
        <f>'F1'!H19</f>
        <v>4.07</v>
      </c>
      <c r="D23" s="167"/>
      <c r="E23" s="32" t="s">
        <v>108</v>
      </c>
      <c r="F23" s="45">
        <f>hitung_F2!E61</f>
        <v>3</v>
      </c>
      <c r="G23" s="45">
        <f>'F2'!G19</f>
        <v>15</v>
      </c>
      <c r="J23" s="32">
        <f t="shared" si="1"/>
        <v>8</v>
      </c>
      <c r="K23" s="45">
        <f>'F4'!I18</f>
        <v>3.25</v>
      </c>
      <c r="L23" s="45">
        <f>'F4'!N18</f>
        <v>4.8099999999999996</v>
      </c>
      <c r="M23" s="592"/>
      <c r="N23" s="32" t="s">
        <v>108</v>
      </c>
      <c r="O23" s="45">
        <f>'F5'!H19</f>
        <v>1.55</v>
      </c>
      <c r="P23" s="48">
        <f>'F5'!M19</f>
        <v>7.75</v>
      </c>
    </row>
    <row r="24" spans="1:16">
      <c r="A24" s="32">
        <f t="shared" si="0"/>
        <v>9</v>
      </c>
      <c r="B24" s="45">
        <f>'F1'!F20</f>
        <v>3.25</v>
      </c>
      <c r="C24" s="43">
        <f>'F1'!H20</f>
        <v>2.4049999999999998</v>
      </c>
      <c r="D24" s="167"/>
      <c r="E24" s="32" t="s">
        <v>109</v>
      </c>
      <c r="F24" s="45">
        <f>hitung_F2!E68</f>
        <v>2</v>
      </c>
      <c r="G24" s="45">
        <f>'F2'!G20</f>
        <v>10</v>
      </c>
      <c r="J24" s="32">
        <f t="shared" si="1"/>
        <v>9</v>
      </c>
      <c r="K24" s="45">
        <f>'F4'!I19</f>
        <v>3.25</v>
      </c>
      <c r="L24" s="45">
        <f>'F4'!N19</f>
        <v>2.4049999999999998</v>
      </c>
      <c r="M24" s="592"/>
      <c r="N24" s="32" t="s">
        <v>109</v>
      </c>
      <c r="O24" s="45">
        <f>'F5'!H20</f>
        <v>1.55</v>
      </c>
      <c r="P24" s="48">
        <f>'F5'!M20</f>
        <v>7.75</v>
      </c>
    </row>
    <row r="25" spans="1:16">
      <c r="A25" s="32">
        <f t="shared" si="0"/>
        <v>10</v>
      </c>
      <c r="B25" s="45">
        <f>'F1'!F21</f>
        <v>1.5</v>
      </c>
      <c r="C25" s="43">
        <f>'F1'!H21</f>
        <v>1.1099999999999999</v>
      </c>
      <c r="D25" s="167"/>
      <c r="E25" s="32" t="s">
        <v>110</v>
      </c>
      <c r="F25" s="45">
        <f>hitung_F2!E76</f>
        <v>3</v>
      </c>
      <c r="G25" s="45">
        <f>'F2'!G22</f>
        <v>37.5</v>
      </c>
      <c r="J25" s="32">
        <f t="shared" si="1"/>
        <v>10</v>
      </c>
      <c r="K25" s="45">
        <f>'F4'!I20</f>
        <v>3.25</v>
      </c>
      <c r="L25" s="45">
        <f>'F4'!N20</f>
        <v>2.4049999999999998</v>
      </c>
      <c r="M25" s="592"/>
      <c r="N25" s="32" t="s">
        <v>110</v>
      </c>
      <c r="O25" s="45">
        <f>'F5'!H22</f>
        <v>2</v>
      </c>
      <c r="P25" s="48">
        <f>'F5'!M22</f>
        <v>25</v>
      </c>
    </row>
    <row r="26" spans="1:16">
      <c r="A26" s="32">
        <f t="shared" si="0"/>
        <v>11</v>
      </c>
      <c r="B26" s="45">
        <f>'F1'!F22</f>
        <v>2.75</v>
      </c>
      <c r="C26" s="43">
        <f>'F1'!H22</f>
        <v>2.0350000000000001</v>
      </c>
      <c r="D26" s="167"/>
      <c r="E26" s="32" t="s">
        <v>111</v>
      </c>
      <c r="F26" s="45">
        <f>hitung_F2!E83</f>
        <v>3</v>
      </c>
      <c r="G26" s="45">
        <f>'F2'!G23</f>
        <v>37.5</v>
      </c>
      <c r="J26" s="32">
        <f t="shared" si="1"/>
        <v>11</v>
      </c>
      <c r="K26" s="45">
        <f>'F4'!I21</f>
        <v>3.25</v>
      </c>
      <c r="L26" s="45">
        <f>'F4'!N21</f>
        <v>2.4049999999999998</v>
      </c>
      <c r="M26" s="592"/>
      <c r="N26" s="32" t="s">
        <v>111</v>
      </c>
      <c r="O26" s="45">
        <f>'F5'!H23</f>
        <v>1.2</v>
      </c>
      <c r="P26" s="48">
        <f>'F5'!M23</f>
        <v>15</v>
      </c>
    </row>
    <row r="27" spans="1:16">
      <c r="A27" s="32">
        <f t="shared" si="0"/>
        <v>12</v>
      </c>
      <c r="B27" s="45">
        <f>'F1'!F23</f>
        <v>2.75</v>
      </c>
      <c r="C27" s="43">
        <f>'F1'!H23</f>
        <v>2.0350000000000001</v>
      </c>
      <c r="D27" s="167"/>
      <c r="E27" s="34" t="s">
        <v>112</v>
      </c>
      <c r="F27" s="34"/>
      <c r="G27" s="47">
        <f>SUM(G16:G26)</f>
        <v>310.625</v>
      </c>
      <c r="J27" s="32">
        <f t="shared" si="1"/>
        <v>12</v>
      </c>
      <c r="K27" s="45">
        <f>'F4'!I22</f>
        <v>3.25</v>
      </c>
      <c r="L27" s="45">
        <f>'F4'!N22</f>
        <v>2.4049999999999998</v>
      </c>
      <c r="M27" s="592"/>
      <c r="N27" s="34" t="s">
        <v>112</v>
      </c>
      <c r="O27" s="34"/>
      <c r="P27" s="49">
        <f>SUM(P16:P26)</f>
        <v>196.5</v>
      </c>
    </row>
    <row r="28" spans="1:16">
      <c r="A28" s="32">
        <f t="shared" si="0"/>
        <v>13</v>
      </c>
      <c r="B28" s="45">
        <f>'F1'!F24</f>
        <v>3</v>
      </c>
      <c r="C28" s="43">
        <f>'F1'!H24</f>
        <v>2.2199999999999998</v>
      </c>
      <c r="D28" s="10"/>
      <c r="J28" s="32">
        <f t="shared" si="1"/>
        <v>13</v>
      </c>
      <c r="K28" s="45">
        <f>'F4'!I23</f>
        <v>3.25</v>
      </c>
      <c r="L28" s="45">
        <f>'F4'!N23</f>
        <v>2.4049999999999998</v>
      </c>
      <c r="M28" s="40"/>
    </row>
    <row r="29" spans="1:16">
      <c r="A29" s="32">
        <f t="shared" si="0"/>
        <v>14</v>
      </c>
      <c r="B29" s="45">
        <f>'F1'!F25</f>
        <v>2.5</v>
      </c>
      <c r="C29" s="43">
        <f>'F1'!H25</f>
        <v>1.85</v>
      </c>
      <c r="D29" s="167"/>
      <c r="J29" s="32">
        <f t="shared" si="1"/>
        <v>14</v>
      </c>
      <c r="K29" s="45">
        <f>'F4'!I24</f>
        <v>3.25</v>
      </c>
      <c r="L29" s="45">
        <f>'F4'!N24</f>
        <v>2.4049999999999998</v>
      </c>
      <c r="M29" s="167"/>
    </row>
    <row r="30" spans="1:16">
      <c r="A30" s="32">
        <f t="shared" si="0"/>
        <v>15</v>
      </c>
      <c r="B30" s="45">
        <f>'F1'!F26</f>
        <v>3.2</v>
      </c>
      <c r="C30" s="43">
        <f>'F1'!H26</f>
        <v>1.1839999999999999</v>
      </c>
      <c r="D30" s="167"/>
      <c r="J30" s="32">
        <f t="shared" si="1"/>
        <v>15</v>
      </c>
      <c r="K30" s="45">
        <f>'F4'!I25</f>
        <v>3.25</v>
      </c>
      <c r="L30" s="45">
        <f>'F4'!N25</f>
        <v>1.2024999999999999</v>
      </c>
      <c r="M30" s="167"/>
    </row>
    <row r="31" spans="1:16">
      <c r="A31" s="32">
        <f t="shared" si="0"/>
        <v>16</v>
      </c>
      <c r="B31" s="45">
        <f>'F1'!F27</f>
        <v>1.5</v>
      </c>
      <c r="C31" s="43">
        <f>'F1'!H27</f>
        <v>0.55499999999999994</v>
      </c>
      <c r="D31" s="167"/>
      <c r="E31" s="1091" t="s">
        <v>5</v>
      </c>
      <c r="F31" s="1092"/>
      <c r="G31" s="1092"/>
      <c r="H31" s="1093"/>
      <c r="J31" s="32">
        <f t="shared" si="1"/>
        <v>16</v>
      </c>
      <c r="K31" s="45">
        <f>'F4'!I26</f>
        <v>3.25</v>
      </c>
      <c r="L31" s="45">
        <f>'F4'!N26</f>
        <v>1.2024999999999999</v>
      </c>
      <c r="M31" s="167"/>
    </row>
    <row r="32" spans="1:16">
      <c r="A32" s="32">
        <f t="shared" si="0"/>
        <v>17</v>
      </c>
      <c r="B32" s="45">
        <f>'F1'!F28</f>
        <v>3</v>
      </c>
      <c r="C32" s="43">
        <f>'F1'!H28</f>
        <v>1.1099999999999999</v>
      </c>
      <c r="D32" s="167"/>
      <c r="E32" s="33"/>
      <c r="F32" s="32" t="s">
        <v>945</v>
      </c>
      <c r="G32" s="32" t="s">
        <v>944</v>
      </c>
      <c r="H32" s="35" t="s">
        <v>113</v>
      </c>
      <c r="J32" s="32">
        <f t="shared" si="1"/>
        <v>17</v>
      </c>
      <c r="K32" s="45">
        <f>'F4'!I27</f>
        <v>3.25</v>
      </c>
      <c r="L32" s="45">
        <f>'F4'!N27</f>
        <v>1.2024999999999999</v>
      </c>
      <c r="M32" s="167"/>
    </row>
    <row r="33" spans="1:13">
      <c r="A33" s="32">
        <f t="shared" si="0"/>
        <v>18</v>
      </c>
      <c r="B33" s="45">
        <f>'F1'!F29</f>
        <v>3.2</v>
      </c>
      <c r="C33" s="43">
        <f>'F1'!H29</f>
        <v>2.3679999999999999</v>
      </c>
      <c r="D33" s="167"/>
      <c r="E33" s="169" t="s">
        <v>919</v>
      </c>
      <c r="F33" s="47">
        <f>C117</f>
        <v>303.25155998707186</v>
      </c>
      <c r="G33" s="45">
        <v>0.9</v>
      </c>
      <c r="H33" s="45">
        <f>F33*G33</f>
        <v>272.92640398836465</v>
      </c>
      <c r="J33" s="32">
        <f t="shared" si="1"/>
        <v>18</v>
      </c>
      <c r="K33" s="45">
        <f>'F4'!I28</f>
        <v>3.25</v>
      </c>
      <c r="L33" s="45">
        <f>'F4'!N28</f>
        <v>2.4049999999999998</v>
      </c>
      <c r="M33" s="167"/>
    </row>
    <row r="34" spans="1:13">
      <c r="A34" s="32">
        <f t="shared" si="0"/>
        <v>19</v>
      </c>
      <c r="B34" s="45">
        <f>'F1'!F30</f>
        <v>4</v>
      </c>
      <c r="C34" s="43">
        <f>'F1'!H30</f>
        <v>59.32</v>
      </c>
      <c r="D34" s="167"/>
      <c r="E34" s="170" t="s">
        <v>142</v>
      </c>
      <c r="F34" s="47">
        <f>G27</f>
        <v>310.625</v>
      </c>
      <c r="G34" s="45">
        <v>0.1</v>
      </c>
      <c r="H34" s="45">
        <f>F34*G34</f>
        <v>31.0625</v>
      </c>
      <c r="J34" s="32">
        <f t="shared" si="1"/>
        <v>19</v>
      </c>
      <c r="K34" s="45">
        <f>'F4'!I29</f>
        <v>3.25</v>
      </c>
      <c r="L34" s="45">
        <f>'F4'!N29</f>
        <v>48.197499999999998</v>
      </c>
      <c r="M34" s="167"/>
    </row>
    <row r="35" spans="1:13">
      <c r="A35" s="32">
        <f t="shared" si="0"/>
        <v>20</v>
      </c>
      <c r="B35" s="45">
        <f>'F1'!F31</f>
        <v>1</v>
      </c>
      <c r="C35" s="43">
        <f>'F1'!H31</f>
        <v>0.82</v>
      </c>
      <c r="D35" s="167"/>
      <c r="E35" s="613" t="s">
        <v>69</v>
      </c>
      <c r="F35" s="614"/>
      <c r="G35" s="615"/>
      <c r="H35" s="45">
        <f>SUM(H33:H34)</f>
        <v>303.98890398836465</v>
      </c>
      <c r="J35" s="32">
        <f t="shared" si="1"/>
        <v>20</v>
      </c>
      <c r="K35" s="45">
        <f>'F4'!I30</f>
        <v>3.25</v>
      </c>
      <c r="L35" s="45">
        <f>'F4'!N30</f>
        <v>2.665</v>
      </c>
      <c r="M35" s="167"/>
    </row>
    <row r="36" spans="1:13">
      <c r="A36" s="32">
        <f t="shared" si="0"/>
        <v>21</v>
      </c>
      <c r="B36" s="45">
        <f>'F1'!F32</f>
        <v>1</v>
      </c>
      <c r="C36" s="43">
        <f>'F1'!H32</f>
        <v>0.41</v>
      </c>
      <c r="D36" s="167"/>
      <c r="E36" s="616"/>
      <c r="F36" s="617"/>
      <c r="G36" s="618"/>
      <c r="H36" s="45"/>
      <c r="J36" s="32">
        <f t="shared" si="1"/>
        <v>21</v>
      </c>
      <c r="K36" s="45">
        <f>'F4'!I31</f>
        <v>3.25</v>
      </c>
      <c r="L36" s="45">
        <f>'F4'!N31</f>
        <v>1.3325</v>
      </c>
      <c r="M36" s="167"/>
    </row>
    <row r="37" spans="1:13" ht="15.75">
      <c r="A37" s="32">
        <f t="shared" si="0"/>
        <v>22</v>
      </c>
      <c r="B37" s="45">
        <f>'F1'!F33</f>
        <v>1</v>
      </c>
      <c r="C37" s="43">
        <f>'F1'!H33</f>
        <v>0.41</v>
      </c>
      <c r="D37" s="167"/>
      <c r="E37" s="619" t="s">
        <v>4</v>
      </c>
      <c r="F37" s="620"/>
      <c r="G37" s="621"/>
      <c r="H37" s="591" t="str">
        <f>IF(H35&gt;=200, "Lolos", "Tidak lolos")</f>
        <v>Lolos</v>
      </c>
      <c r="J37" s="32">
        <f t="shared" si="1"/>
        <v>22</v>
      </c>
      <c r="K37" s="45">
        <f>'F4'!I32</f>
        <v>3.25</v>
      </c>
      <c r="L37" s="45">
        <f>'F4'!N32</f>
        <v>1.3325</v>
      </c>
      <c r="M37" s="167"/>
    </row>
    <row r="38" spans="1:13">
      <c r="A38" s="32">
        <f t="shared" si="0"/>
        <v>23</v>
      </c>
      <c r="B38" s="45">
        <f>'F1'!F34</f>
        <v>4</v>
      </c>
      <c r="C38" s="43">
        <f>'F1'!H34</f>
        <v>1.64</v>
      </c>
      <c r="D38" s="167"/>
      <c r="J38" s="32">
        <f t="shared" si="1"/>
        <v>23</v>
      </c>
      <c r="K38" s="45">
        <f>'F4'!I33</f>
        <v>3.25</v>
      </c>
      <c r="L38" s="45">
        <f>'F4'!N33</f>
        <v>1.3325</v>
      </c>
      <c r="M38" s="167"/>
    </row>
    <row r="39" spans="1:13">
      <c r="A39" s="32">
        <f t="shared" si="0"/>
        <v>24</v>
      </c>
      <c r="B39" s="45">
        <f>'F1'!F35</f>
        <v>4</v>
      </c>
      <c r="C39" s="43">
        <f>'F1'!H35</f>
        <v>3.28</v>
      </c>
      <c r="D39" s="167"/>
      <c r="J39" s="32">
        <f t="shared" si="1"/>
        <v>24</v>
      </c>
      <c r="K39" s="45">
        <f>'F4'!I34</f>
        <v>3.25</v>
      </c>
      <c r="L39" s="45">
        <f>'F4'!N34</f>
        <v>2.665</v>
      </c>
      <c r="M39" s="167"/>
    </row>
    <row r="40" spans="1:13">
      <c r="A40" s="32">
        <f t="shared" si="0"/>
        <v>25</v>
      </c>
      <c r="B40" s="45">
        <f>'F1'!F36</f>
        <v>4</v>
      </c>
      <c r="C40" s="43">
        <f>'F1'!H36</f>
        <v>1.64</v>
      </c>
      <c r="D40" s="167"/>
      <c r="J40" s="32">
        <f t="shared" si="1"/>
        <v>25</v>
      </c>
      <c r="K40" s="45">
        <f>'F4'!I35</f>
        <v>3.25</v>
      </c>
      <c r="L40" s="45">
        <f>'F4'!N35</f>
        <v>1.3325</v>
      </c>
      <c r="M40" s="167"/>
    </row>
    <row r="41" spans="1:13">
      <c r="A41" s="32">
        <f t="shared" si="0"/>
        <v>26</v>
      </c>
      <c r="B41" s="45">
        <f>'F1'!F37</f>
        <v>4</v>
      </c>
      <c r="C41" s="43">
        <f>'F1'!H37</f>
        <v>1.64</v>
      </c>
      <c r="D41" s="167"/>
      <c r="E41" s="1091" t="s">
        <v>6</v>
      </c>
      <c r="F41" s="1092"/>
      <c r="G41" s="1092"/>
      <c r="H41" s="1093"/>
      <c r="J41" s="32">
        <f t="shared" si="1"/>
        <v>26</v>
      </c>
      <c r="K41" s="45">
        <f>'F4'!I36</f>
        <v>3.25</v>
      </c>
      <c r="L41" s="45">
        <f>'F4'!N36</f>
        <v>1.3325</v>
      </c>
      <c r="M41" s="167"/>
    </row>
    <row r="42" spans="1:13">
      <c r="A42" s="32">
        <f t="shared" si="0"/>
        <v>27</v>
      </c>
      <c r="B42" s="45">
        <f>'F1'!F38</f>
        <v>3</v>
      </c>
      <c r="C42" s="43">
        <f>'F1'!H38</f>
        <v>1.23</v>
      </c>
      <c r="D42" s="167"/>
      <c r="E42" s="230" t="s">
        <v>920</v>
      </c>
      <c r="F42" s="45">
        <f>L117</f>
        <v>323.37050000000005</v>
      </c>
      <c r="G42" s="45">
        <v>0.9</v>
      </c>
      <c r="H42" s="45">
        <f>F42*G42</f>
        <v>291.03345000000007</v>
      </c>
      <c r="J42" s="32">
        <f t="shared" si="1"/>
        <v>27</v>
      </c>
      <c r="K42" s="45">
        <f>'F4'!I37</f>
        <v>3.25</v>
      </c>
      <c r="L42" s="45">
        <f>'F4'!N37</f>
        <v>1.3325</v>
      </c>
      <c r="M42" s="167"/>
    </row>
    <row r="43" spans="1:13">
      <c r="A43" s="32">
        <f t="shared" si="0"/>
        <v>28</v>
      </c>
      <c r="B43" s="45">
        <f>'F1'!F39</f>
        <v>4</v>
      </c>
      <c r="C43" s="43">
        <f>'F1'!H39</f>
        <v>1.64</v>
      </c>
      <c r="D43" s="167"/>
      <c r="E43" s="229" t="s">
        <v>921</v>
      </c>
      <c r="F43" s="45">
        <f>P27</f>
        <v>196.5</v>
      </c>
      <c r="G43" s="45">
        <v>0.1</v>
      </c>
      <c r="H43" s="45">
        <f>F43*G43</f>
        <v>19.650000000000002</v>
      </c>
      <c r="J43" s="32">
        <f t="shared" si="1"/>
        <v>28</v>
      </c>
      <c r="K43" s="45">
        <f>'F4'!I38</f>
        <v>3.25</v>
      </c>
      <c r="L43" s="45">
        <f>'F4'!N38</f>
        <v>1.3325</v>
      </c>
      <c r="M43" s="167"/>
    </row>
    <row r="44" spans="1:13">
      <c r="A44" s="32">
        <f t="shared" si="0"/>
        <v>29</v>
      </c>
      <c r="B44" s="45">
        <f>'F1'!F40</f>
        <v>4</v>
      </c>
      <c r="C44" s="43">
        <f>'F1'!H40</f>
        <v>1.64</v>
      </c>
      <c r="D44" s="167"/>
      <c r="E44" s="622" t="s">
        <v>69</v>
      </c>
      <c r="F44" s="623"/>
      <c r="G44" s="624"/>
      <c r="H44" s="45">
        <f>SUM(H42:H43)</f>
        <v>310.68345000000005</v>
      </c>
      <c r="J44" s="32">
        <f t="shared" si="1"/>
        <v>29</v>
      </c>
      <c r="K44" s="45">
        <f>'F4'!I39</f>
        <v>3.25</v>
      </c>
      <c r="L44" s="45">
        <f>'F4'!N39</f>
        <v>1.3325</v>
      </c>
      <c r="M44" s="167"/>
    </row>
    <row r="45" spans="1:13" ht="15.75">
      <c r="A45" s="32">
        <f t="shared" si="0"/>
        <v>30</v>
      </c>
      <c r="B45" s="45">
        <f>'F1'!F41</f>
        <v>4</v>
      </c>
      <c r="C45" s="43">
        <f>'F1'!H41</f>
        <v>1.64</v>
      </c>
      <c r="D45" s="167"/>
      <c r="E45" s="625"/>
      <c r="F45" s="626"/>
      <c r="G45" s="627"/>
      <c r="H45" s="45"/>
      <c r="J45" s="32">
        <f t="shared" si="1"/>
        <v>30</v>
      </c>
      <c r="K45" s="45">
        <f>'F4'!I40</f>
        <v>3.25</v>
      </c>
      <c r="L45" s="45">
        <f>'F4'!N40</f>
        <v>1.3325</v>
      </c>
      <c r="M45" s="167"/>
    </row>
    <row r="46" spans="1:13" ht="15.75" customHeight="1">
      <c r="A46" s="32">
        <f t="shared" si="0"/>
        <v>31</v>
      </c>
      <c r="B46" s="45">
        <f>'F1'!F42</f>
        <v>4</v>
      </c>
      <c r="C46" s="43">
        <f>'F1'!H42</f>
        <v>1.64</v>
      </c>
      <c r="D46" s="167"/>
      <c r="E46" s="1094" t="s">
        <v>947</v>
      </c>
      <c r="F46" s="1095"/>
      <c r="G46" s="628"/>
      <c r="H46" s="596" t="str">
        <f>IF(H44&gt;=361,"A",IF(H44&gt;=301,"B", IF(H44&gt;=200,"C", "TDK TERAKREDITASI")))</f>
        <v>B</v>
      </c>
      <c r="J46" s="32">
        <f t="shared" si="1"/>
        <v>31</v>
      </c>
      <c r="K46" s="45">
        <f>'F4'!I41</f>
        <v>3.25</v>
      </c>
      <c r="L46" s="45">
        <f>'F4'!N41</f>
        <v>1.3325</v>
      </c>
      <c r="M46" s="167"/>
    </row>
    <row r="47" spans="1:13" ht="15" customHeight="1">
      <c r="A47" s="32">
        <f t="shared" si="0"/>
        <v>32</v>
      </c>
      <c r="B47" s="45">
        <f>'F1'!F43</f>
        <v>2.4</v>
      </c>
      <c r="C47" s="43">
        <f>'F1'!H43</f>
        <v>1.9679999999999997</v>
      </c>
      <c r="D47" s="167"/>
      <c r="G47" s="597"/>
      <c r="H47" s="597"/>
      <c r="I47" s="597"/>
      <c r="J47" s="32">
        <f t="shared" si="1"/>
        <v>32</v>
      </c>
      <c r="K47" s="45">
        <f>'F4'!I42</f>
        <v>3.25</v>
      </c>
      <c r="L47" s="45">
        <f>'F4'!N42</f>
        <v>2.665</v>
      </c>
      <c r="M47" s="167"/>
    </row>
    <row r="48" spans="1:13">
      <c r="A48" s="32">
        <f t="shared" si="0"/>
        <v>33</v>
      </c>
      <c r="B48" s="45">
        <f>'F1'!F44</f>
        <v>4</v>
      </c>
      <c r="C48" s="43">
        <f>'F1'!H44</f>
        <v>1.64</v>
      </c>
      <c r="D48" s="167"/>
      <c r="J48" s="32">
        <f t="shared" si="1"/>
        <v>33</v>
      </c>
      <c r="K48" s="45">
        <f>'F4'!I43</f>
        <v>3.25</v>
      </c>
      <c r="L48" s="45">
        <f>'F4'!N43</f>
        <v>1.3325</v>
      </c>
      <c r="M48" s="167"/>
    </row>
    <row r="49" spans="1:13">
      <c r="A49" s="32">
        <f t="shared" si="0"/>
        <v>34</v>
      </c>
      <c r="B49" s="45">
        <f>'F1'!F45</f>
        <v>0</v>
      </c>
      <c r="C49" s="43">
        <f>'F1'!H45</f>
        <v>0</v>
      </c>
      <c r="D49" s="167"/>
      <c r="J49" s="32">
        <f t="shared" si="1"/>
        <v>34</v>
      </c>
      <c r="K49" s="45">
        <f>'F4'!I44</f>
        <v>3.25</v>
      </c>
      <c r="L49" s="45">
        <f>'F4'!N44</f>
        <v>1.3325</v>
      </c>
      <c r="M49" s="167"/>
    </row>
    <row r="50" spans="1:13">
      <c r="A50" s="32">
        <f t="shared" si="0"/>
        <v>35</v>
      </c>
      <c r="B50" s="45">
        <f>'F1'!F46</f>
        <v>4</v>
      </c>
      <c r="C50" s="43">
        <f>'F1'!H46</f>
        <v>4.92</v>
      </c>
      <c r="D50" s="167"/>
      <c r="J50" s="32">
        <f t="shared" si="1"/>
        <v>35</v>
      </c>
      <c r="K50" s="45">
        <f>'F4'!I45</f>
        <v>3.25</v>
      </c>
      <c r="L50" s="45">
        <f>'F4'!N45</f>
        <v>3.9975000000000001</v>
      </c>
      <c r="M50" s="167"/>
    </row>
    <row r="51" spans="1:13">
      <c r="A51" s="32">
        <f t="shared" si="0"/>
        <v>36</v>
      </c>
      <c r="B51" s="45">
        <f>'F1'!F47</f>
        <v>1.3066666666666666</v>
      </c>
      <c r="C51" s="43">
        <f>'F1'!H47</f>
        <v>1.6072</v>
      </c>
      <c r="D51" s="167"/>
      <c r="J51" s="32">
        <f t="shared" si="1"/>
        <v>36</v>
      </c>
      <c r="K51" s="45">
        <f>'F4'!I46</f>
        <v>3.25</v>
      </c>
      <c r="L51" s="45">
        <f>'F4'!N46</f>
        <v>3.9975000000000001</v>
      </c>
      <c r="M51" s="167"/>
    </row>
    <row r="52" spans="1:13">
      <c r="A52" s="32">
        <f t="shared" si="0"/>
        <v>37</v>
      </c>
      <c r="B52" s="45">
        <f>'F1'!F48</f>
        <v>3.91</v>
      </c>
      <c r="C52" s="43">
        <f>'F1'!H48</f>
        <v>3.2061999999999999</v>
      </c>
      <c r="D52" s="167"/>
      <c r="J52" s="32">
        <f t="shared" si="1"/>
        <v>37</v>
      </c>
      <c r="K52" s="45">
        <f>'F4'!I47</f>
        <v>3.25</v>
      </c>
      <c r="L52" s="45">
        <f>'F4'!N47</f>
        <v>2.665</v>
      </c>
      <c r="M52" s="167"/>
    </row>
    <row r="53" spans="1:13">
      <c r="A53" s="32">
        <f>A52+1</f>
        <v>38</v>
      </c>
      <c r="B53" s="45">
        <f>'F1'!F49</f>
        <v>1</v>
      </c>
      <c r="C53" s="43">
        <f>'F1'!H49</f>
        <v>0.82</v>
      </c>
      <c r="D53" s="167"/>
      <c r="J53" s="32">
        <f t="shared" si="1"/>
        <v>38</v>
      </c>
      <c r="K53" s="45">
        <f>'F4'!I48</f>
        <v>3.25</v>
      </c>
      <c r="L53" s="45">
        <f>'F4'!N48</f>
        <v>2.665</v>
      </c>
      <c r="M53" s="167"/>
    </row>
    <row r="54" spans="1:13">
      <c r="A54" s="32">
        <f t="shared" si="0"/>
        <v>39</v>
      </c>
      <c r="B54" s="45">
        <f>'F1'!F50</f>
        <v>4</v>
      </c>
      <c r="C54" s="43">
        <f>'F1'!H50</f>
        <v>3.28</v>
      </c>
      <c r="D54" s="167"/>
      <c r="J54" s="32">
        <f t="shared" si="1"/>
        <v>39</v>
      </c>
      <c r="K54" s="45">
        <f>'F4'!I49</f>
        <v>3.25</v>
      </c>
      <c r="L54" s="45">
        <f>'F4'!N49</f>
        <v>2.665</v>
      </c>
      <c r="M54" s="167"/>
    </row>
    <row r="55" spans="1:13">
      <c r="A55" s="32">
        <f t="shared" si="0"/>
        <v>40</v>
      </c>
      <c r="B55" s="45">
        <f>'F1'!F51</f>
        <v>3</v>
      </c>
      <c r="C55" s="43">
        <f>'F1'!H51</f>
        <v>2.46</v>
      </c>
      <c r="D55" s="167"/>
      <c r="J55" s="32">
        <f t="shared" si="1"/>
        <v>40</v>
      </c>
      <c r="K55" s="45">
        <f>'F4'!I50</f>
        <v>3.25</v>
      </c>
      <c r="L55" s="45">
        <f>'F4'!N50</f>
        <v>2.665</v>
      </c>
      <c r="M55" s="167"/>
    </row>
    <row r="56" spans="1:13">
      <c r="A56" s="32">
        <f t="shared" si="0"/>
        <v>41</v>
      </c>
      <c r="B56" s="45">
        <f>'F1'!F52</f>
        <v>2</v>
      </c>
      <c r="C56" s="43">
        <f>'F1'!H52</f>
        <v>1.84</v>
      </c>
      <c r="D56" s="167"/>
      <c r="J56" s="32">
        <f t="shared" si="1"/>
        <v>41</v>
      </c>
      <c r="K56" s="45">
        <f>'F4'!I51</f>
        <v>3.25</v>
      </c>
      <c r="L56" s="45">
        <f>'F4'!N51</f>
        <v>2.99</v>
      </c>
      <c r="M56" s="167"/>
    </row>
    <row r="57" spans="1:13">
      <c r="A57" s="32">
        <f t="shared" si="0"/>
        <v>42</v>
      </c>
      <c r="B57" s="45">
        <f>'F1'!F53</f>
        <v>4</v>
      </c>
      <c r="C57" s="43">
        <f>'F1'!H53</f>
        <v>3.68</v>
      </c>
      <c r="D57" s="167"/>
      <c r="J57" s="32">
        <f t="shared" si="1"/>
        <v>42</v>
      </c>
      <c r="K57" s="45">
        <f>'F4'!I52</f>
        <v>3.25</v>
      </c>
      <c r="L57" s="45">
        <f>'F4'!N52</f>
        <v>2.99</v>
      </c>
      <c r="M57" s="167"/>
    </row>
    <row r="58" spans="1:13">
      <c r="A58" s="32">
        <f t="shared" si="0"/>
        <v>43</v>
      </c>
      <c r="B58" s="45">
        <f>'F1'!F54</f>
        <v>1</v>
      </c>
      <c r="C58" s="43">
        <f>'F1'!H54</f>
        <v>0.92</v>
      </c>
      <c r="D58" s="167"/>
      <c r="J58" s="32">
        <f t="shared" si="1"/>
        <v>43</v>
      </c>
      <c r="K58" s="45">
        <f>'F4'!I53</f>
        <v>3.25</v>
      </c>
      <c r="L58" s="45">
        <f>'F4'!N53</f>
        <v>2.99</v>
      </c>
      <c r="M58" s="167"/>
    </row>
    <row r="59" spans="1:13">
      <c r="A59" s="32">
        <f t="shared" si="0"/>
        <v>44</v>
      </c>
      <c r="B59" s="45">
        <f>'F1'!F55</f>
        <v>4</v>
      </c>
      <c r="C59" s="43">
        <f>'F1'!H55</f>
        <v>11.04</v>
      </c>
      <c r="D59" s="167"/>
      <c r="J59" s="32">
        <f t="shared" si="1"/>
        <v>44</v>
      </c>
      <c r="K59" s="45">
        <f>'F4'!I54</f>
        <v>3.25</v>
      </c>
      <c r="L59" s="45">
        <f>'F4'!N54</f>
        <v>8.9699999999999989</v>
      </c>
      <c r="M59" s="167"/>
    </row>
    <row r="60" spans="1:13">
      <c r="A60" s="32">
        <f t="shared" si="0"/>
        <v>45</v>
      </c>
      <c r="B60" s="45">
        <f>'F1'!F56</f>
        <v>2</v>
      </c>
      <c r="C60" s="43">
        <f>'F1'!H56</f>
        <v>1.84</v>
      </c>
      <c r="D60" s="167"/>
      <c r="J60" s="32">
        <f t="shared" si="1"/>
        <v>45</v>
      </c>
      <c r="K60" s="45">
        <f>'F4'!I55</f>
        <v>3.25</v>
      </c>
      <c r="L60" s="45">
        <f>'F4'!N55</f>
        <v>2.99</v>
      </c>
      <c r="M60" s="167"/>
    </row>
    <row r="61" spans="1:13">
      <c r="A61" s="32">
        <f t="shared" si="0"/>
        <v>46</v>
      </c>
      <c r="B61" s="45">
        <f>'F1'!F57</f>
        <v>2</v>
      </c>
      <c r="C61" s="43">
        <f>'F1'!H57</f>
        <v>1.84</v>
      </c>
      <c r="D61" s="167"/>
      <c r="J61" s="32">
        <f t="shared" si="1"/>
        <v>46</v>
      </c>
      <c r="K61" s="45">
        <f>'F4'!I56</f>
        <v>3.25</v>
      </c>
      <c r="L61" s="45">
        <f>'F4'!N56</f>
        <v>2.99</v>
      </c>
      <c r="M61" s="167"/>
    </row>
    <row r="62" spans="1:13">
      <c r="A62" s="32">
        <f t="shared" si="0"/>
        <v>47</v>
      </c>
      <c r="B62" s="45">
        <f>'F1'!F58</f>
        <v>4</v>
      </c>
      <c r="C62" s="43">
        <f>'F1'!H58</f>
        <v>7.36</v>
      </c>
      <c r="D62" s="167"/>
      <c r="J62" s="32">
        <f t="shared" si="1"/>
        <v>47</v>
      </c>
      <c r="K62" s="45">
        <f>'F4'!I57</f>
        <v>3.25</v>
      </c>
      <c r="L62" s="45">
        <f>'F4'!N57</f>
        <v>5.98</v>
      </c>
      <c r="M62" s="167"/>
    </row>
    <row r="63" spans="1:13">
      <c r="A63" s="32">
        <f t="shared" si="0"/>
        <v>48</v>
      </c>
      <c r="B63" s="45">
        <f>'F1'!F59</f>
        <v>4</v>
      </c>
      <c r="C63" s="43">
        <f>'F1'!H59</f>
        <v>7.36</v>
      </c>
      <c r="D63" s="167"/>
      <c r="J63" s="32">
        <f t="shared" si="1"/>
        <v>48</v>
      </c>
      <c r="K63" s="45">
        <f>'F4'!I58</f>
        <v>3.25</v>
      </c>
      <c r="L63" s="45">
        <f>'F4'!N58</f>
        <v>5.98</v>
      </c>
      <c r="M63" s="167"/>
    </row>
    <row r="64" spans="1:13">
      <c r="A64" s="32">
        <f t="shared" si="0"/>
        <v>49</v>
      </c>
      <c r="B64" s="45">
        <f>'F1'!F60</f>
        <v>2.5</v>
      </c>
      <c r="C64" s="43">
        <f>'F1'!H60</f>
        <v>2.3000000000000003</v>
      </c>
      <c r="D64" s="167"/>
      <c r="J64" s="32">
        <f t="shared" si="1"/>
        <v>49</v>
      </c>
      <c r="K64" s="45">
        <f>'F4'!I59</f>
        <v>3.25</v>
      </c>
      <c r="L64" s="45">
        <f>'F4'!N59</f>
        <v>2.99</v>
      </c>
      <c r="M64" s="167"/>
    </row>
    <row r="65" spans="1:13">
      <c r="A65" s="32">
        <f t="shared" si="0"/>
        <v>50</v>
      </c>
      <c r="B65" s="45">
        <f>'F1'!F61</f>
        <v>2.25</v>
      </c>
      <c r="C65" s="43">
        <f>'F1'!H61</f>
        <v>2.0700000000000003</v>
      </c>
      <c r="D65" s="167"/>
      <c r="J65" s="32">
        <f t="shared" si="1"/>
        <v>50</v>
      </c>
      <c r="K65" s="45">
        <f>'F4'!I60</f>
        <v>3.25</v>
      </c>
      <c r="L65" s="45">
        <f>'F4'!N60</f>
        <v>2.99</v>
      </c>
      <c r="M65" s="167"/>
    </row>
    <row r="66" spans="1:13">
      <c r="A66" s="32">
        <f t="shared" si="0"/>
        <v>51</v>
      </c>
      <c r="B66" s="45">
        <f>'F1'!F62</f>
        <v>2.75</v>
      </c>
      <c r="C66" s="43">
        <f>'F1'!H62</f>
        <v>2.5300000000000002</v>
      </c>
      <c r="D66" s="167"/>
      <c r="J66" s="32">
        <f t="shared" si="1"/>
        <v>51</v>
      </c>
      <c r="K66" s="45">
        <f>'F4'!I61</f>
        <v>3.25</v>
      </c>
      <c r="L66" s="45">
        <f>'F4'!N61</f>
        <v>2.99</v>
      </c>
      <c r="M66" s="167"/>
    </row>
    <row r="67" spans="1:13">
      <c r="A67" s="32">
        <f t="shared" si="0"/>
        <v>52</v>
      </c>
      <c r="B67" s="45">
        <f>'F1'!F63</f>
        <v>0.5714285714285714</v>
      </c>
      <c r="C67" s="43">
        <f>'F1'!H63</f>
        <v>0.52571428571428569</v>
      </c>
      <c r="D67" s="167"/>
      <c r="J67" s="32">
        <f t="shared" si="1"/>
        <v>52</v>
      </c>
      <c r="K67" s="45">
        <f>'F4'!I62</f>
        <v>3.25</v>
      </c>
      <c r="L67" s="45">
        <f>'F4'!N62</f>
        <v>2.99</v>
      </c>
      <c r="M67" s="167"/>
    </row>
    <row r="68" spans="1:13">
      <c r="A68" s="32">
        <f t="shared" si="0"/>
        <v>53</v>
      </c>
      <c r="B68" s="45">
        <f>'F1'!F64</f>
        <v>2.75</v>
      </c>
      <c r="C68" s="43">
        <f>'F1'!H64</f>
        <v>2.5300000000000002</v>
      </c>
      <c r="D68" s="167"/>
      <c r="J68" s="32">
        <f t="shared" si="1"/>
        <v>53</v>
      </c>
      <c r="K68" s="45">
        <f>'F4'!I63</f>
        <v>3.25</v>
      </c>
      <c r="L68" s="45">
        <f>'F4'!N63</f>
        <v>2.99</v>
      </c>
      <c r="M68" s="167"/>
    </row>
    <row r="69" spans="1:13">
      <c r="A69" s="32">
        <f t="shared" si="0"/>
        <v>54</v>
      </c>
      <c r="B69" s="45">
        <f>'F1'!F65</f>
        <v>2.75</v>
      </c>
      <c r="C69" s="43">
        <f>'F1'!H65</f>
        <v>2.5300000000000002</v>
      </c>
      <c r="D69" s="167"/>
      <c r="J69" s="32">
        <f t="shared" si="1"/>
        <v>54</v>
      </c>
      <c r="K69" s="45">
        <f>'F4'!I64</f>
        <v>3.25</v>
      </c>
      <c r="L69" s="45">
        <f>'F4'!N64</f>
        <v>2.99</v>
      </c>
      <c r="M69" s="167"/>
    </row>
    <row r="70" spans="1:13">
      <c r="A70" s="32">
        <f t="shared" si="0"/>
        <v>55</v>
      </c>
      <c r="B70" s="45">
        <f>'F1'!F66</f>
        <v>2.5</v>
      </c>
      <c r="C70" s="43">
        <f>'F1'!H66</f>
        <v>2.3000000000000003</v>
      </c>
      <c r="D70" s="167"/>
      <c r="J70" s="32">
        <f t="shared" si="1"/>
        <v>55</v>
      </c>
      <c r="K70" s="45">
        <f>'F4'!I65</f>
        <v>3.25</v>
      </c>
      <c r="L70" s="45">
        <f>'F4'!N65</f>
        <v>2.99</v>
      </c>
      <c r="M70" s="167"/>
    </row>
    <row r="71" spans="1:13">
      <c r="A71" s="32">
        <f t="shared" si="0"/>
        <v>56</v>
      </c>
      <c r="B71" s="45">
        <f>'F1'!F67</f>
        <v>2.6</v>
      </c>
      <c r="C71" s="43">
        <f>'F1'!H67</f>
        <v>2.3920000000000003</v>
      </c>
      <c r="D71" s="167"/>
      <c r="J71" s="32">
        <f t="shared" si="1"/>
        <v>56</v>
      </c>
      <c r="K71" s="45">
        <f>'F4'!I66</f>
        <v>3.25</v>
      </c>
      <c r="L71" s="45">
        <f>'F4'!N66</f>
        <v>2.99</v>
      </c>
      <c r="M71" s="167"/>
    </row>
    <row r="72" spans="1:13">
      <c r="A72" s="32">
        <f t="shared" si="0"/>
        <v>57</v>
      </c>
      <c r="B72" s="45">
        <f>'F1'!F68</f>
        <v>2.7</v>
      </c>
      <c r="C72" s="43">
        <f>'F1'!H68</f>
        <v>2.1330000000000005</v>
      </c>
      <c r="D72" s="167"/>
      <c r="J72" s="32">
        <f t="shared" si="1"/>
        <v>57</v>
      </c>
      <c r="K72" s="45">
        <f>'F4'!I67</f>
        <v>3.25</v>
      </c>
      <c r="L72" s="45">
        <f>'F4'!N67</f>
        <v>2.5674999999999999</v>
      </c>
      <c r="M72" s="167"/>
    </row>
    <row r="73" spans="1:13">
      <c r="A73" s="32">
        <f t="shared" si="0"/>
        <v>58</v>
      </c>
      <c r="B73" s="45">
        <f>'F1'!F69</f>
        <v>3</v>
      </c>
      <c r="C73" s="43">
        <f>'F1'!H69</f>
        <v>2.37</v>
      </c>
      <c r="D73" s="167"/>
      <c r="J73" s="32">
        <f t="shared" si="1"/>
        <v>58</v>
      </c>
      <c r="K73" s="45">
        <f>'F4'!I68</f>
        <v>3.25</v>
      </c>
      <c r="L73" s="45">
        <f>'F4'!N68</f>
        <v>2.5674999999999999</v>
      </c>
      <c r="M73" s="167"/>
    </row>
    <row r="74" spans="1:13">
      <c r="A74" s="32">
        <f t="shared" si="0"/>
        <v>59</v>
      </c>
      <c r="B74" s="45">
        <f>'F1'!F70</f>
        <v>4</v>
      </c>
      <c r="C74" s="43">
        <f>'F1'!H70</f>
        <v>6.32</v>
      </c>
      <c r="D74" s="167"/>
      <c r="J74" s="32">
        <f t="shared" si="1"/>
        <v>59</v>
      </c>
      <c r="K74" s="45">
        <f>'F4'!I69</f>
        <v>3.25</v>
      </c>
      <c r="L74" s="45">
        <f>'F4'!N69</f>
        <v>5.1349999999999998</v>
      </c>
      <c r="M74" s="167"/>
    </row>
    <row r="75" spans="1:13">
      <c r="A75" s="32">
        <f t="shared" si="0"/>
        <v>60</v>
      </c>
      <c r="B75" s="45">
        <f>'F1'!F71</f>
        <v>3</v>
      </c>
      <c r="C75" s="43">
        <f>'F1'!H71</f>
        <v>4.74</v>
      </c>
      <c r="D75" s="167"/>
      <c r="J75" s="32">
        <f t="shared" si="1"/>
        <v>60</v>
      </c>
      <c r="K75" s="45">
        <f>'F4'!I70</f>
        <v>3.25</v>
      </c>
      <c r="L75" s="45">
        <f>'F4'!N70</f>
        <v>5.1349999999999998</v>
      </c>
      <c r="M75" s="167"/>
    </row>
    <row r="76" spans="1:13">
      <c r="A76" s="32">
        <f t="shared" si="0"/>
        <v>61</v>
      </c>
      <c r="B76" s="45">
        <f>'F1'!F72</f>
        <v>3</v>
      </c>
      <c r="C76" s="43">
        <f>'F1'!H72</f>
        <v>2.37</v>
      </c>
      <c r="D76" s="167"/>
      <c r="J76" s="32">
        <f t="shared" si="1"/>
        <v>61</v>
      </c>
      <c r="K76" s="45">
        <f>'F4'!I71</f>
        <v>3.25</v>
      </c>
      <c r="L76" s="45">
        <f>'F4'!N71</f>
        <v>2.5674999999999999</v>
      </c>
      <c r="M76" s="167"/>
    </row>
    <row r="77" spans="1:13">
      <c r="A77" s="32">
        <f t="shared" si="0"/>
        <v>62</v>
      </c>
      <c r="B77" s="45">
        <f>'F1'!F73</f>
        <v>4</v>
      </c>
      <c r="C77" s="43">
        <f>'F1'!H73</f>
        <v>3.16</v>
      </c>
      <c r="D77" s="167"/>
      <c r="J77" s="32">
        <f t="shared" si="1"/>
        <v>62</v>
      </c>
      <c r="K77" s="45">
        <f>'F4'!I72</f>
        <v>3.25</v>
      </c>
      <c r="L77" s="45">
        <f>'F4'!N72</f>
        <v>2.5674999999999999</v>
      </c>
      <c r="M77" s="167"/>
    </row>
    <row r="78" spans="1:13">
      <c r="A78" s="32">
        <f t="shared" si="0"/>
        <v>63</v>
      </c>
      <c r="B78" s="45">
        <f>'F1'!F74</f>
        <v>2</v>
      </c>
      <c r="C78" s="43">
        <f>'F1'!H74</f>
        <v>3.16</v>
      </c>
      <c r="D78" s="167"/>
      <c r="J78" s="32">
        <f t="shared" si="1"/>
        <v>63</v>
      </c>
      <c r="K78" s="45">
        <f>'F4'!I73</f>
        <v>3.25</v>
      </c>
      <c r="L78" s="45">
        <f>'F4'!N73</f>
        <v>5.1349999999999998</v>
      </c>
      <c r="M78" s="167"/>
    </row>
    <row r="79" spans="1:13">
      <c r="A79" s="32">
        <f>A78+1</f>
        <v>64</v>
      </c>
      <c r="B79" s="45">
        <f>'F1'!F75</f>
        <v>3</v>
      </c>
      <c r="C79" s="43">
        <f>'F1'!H75</f>
        <v>1.83</v>
      </c>
      <c r="D79" s="167"/>
      <c r="J79" s="32">
        <f t="shared" si="1"/>
        <v>64</v>
      </c>
      <c r="K79" s="45">
        <f>'F4'!I74</f>
        <v>3.25</v>
      </c>
      <c r="L79" s="45">
        <f>'F4'!N74</f>
        <v>1.9824999999999999</v>
      </c>
      <c r="M79" s="167"/>
    </row>
    <row r="80" spans="1:13">
      <c r="A80" s="32">
        <f t="shared" si="0"/>
        <v>65</v>
      </c>
      <c r="B80" s="45">
        <f>'F1'!F76</f>
        <v>2</v>
      </c>
      <c r="C80" s="43">
        <f>'F1'!H76</f>
        <v>1.22</v>
      </c>
      <c r="D80" s="167"/>
      <c r="J80" s="32">
        <f t="shared" si="1"/>
        <v>65</v>
      </c>
      <c r="K80" s="45">
        <f>'F4'!I75</f>
        <v>3.25</v>
      </c>
      <c r="L80" s="45">
        <f>'F4'!N75</f>
        <v>1.9824999999999999</v>
      </c>
      <c r="M80" s="167"/>
    </row>
    <row r="81" spans="1:13">
      <c r="A81" s="32">
        <f t="shared" si="0"/>
        <v>66</v>
      </c>
      <c r="B81" s="45">
        <f>'F1'!F77</f>
        <v>3</v>
      </c>
      <c r="C81" s="43">
        <f>'F1'!H77</f>
        <v>1.83</v>
      </c>
      <c r="D81" s="167"/>
      <c r="J81" s="32">
        <f t="shared" si="1"/>
        <v>66</v>
      </c>
      <c r="K81" s="45">
        <f>'F4'!I76</f>
        <v>3.25</v>
      </c>
      <c r="L81" s="45">
        <f>'F4'!N76</f>
        <v>1.9824999999999999</v>
      </c>
      <c r="M81" s="167"/>
    </row>
    <row r="82" spans="1:13">
      <c r="A82" s="32">
        <f t="shared" ref="A82:A102" si="2">A81+1</f>
        <v>67</v>
      </c>
      <c r="B82" s="45">
        <f>'F1'!F78</f>
        <v>4</v>
      </c>
      <c r="C82" s="43">
        <f>'F1'!H78</f>
        <v>4.92</v>
      </c>
      <c r="D82" s="167"/>
      <c r="J82" s="32">
        <f t="shared" ref="J82:J115" si="3">J81+1</f>
        <v>67</v>
      </c>
      <c r="K82" s="45">
        <f>'F4'!I77</f>
        <v>3.25</v>
      </c>
      <c r="L82" s="45">
        <f>'F4'!N77</f>
        <v>3.9975000000000001</v>
      </c>
      <c r="M82" s="167"/>
    </row>
    <row r="83" spans="1:13">
      <c r="A83" s="32">
        <f t="shared" si="2"/>
        <v>68</v>
      </c>
      <c r="B83" s="45">
        <f>'F1'!F79</f>
        <v>2.8888888888888888</v>
      </c>
      <c r="C83" s="43">
        <f>'F1'!H79</f>
        <v>3.5533333333333332</v>
      </c>
      <c r="D83" s="167"/>
      <c r="J83" s="32">
        <f t="shared" si="3"/>
        <v>68</v>
      </c>
      <c r="K83" s="45">
        <f>'F4'!I78</f>
        <v>3.25</v>
      </c>
      <c r="L83" s="45">
        <f>'F4'!N78</f>
        <v>3.9975000000000001</v>
      </c>
      <c r="M83" s="167"/>
    </row>
    <row r="84" spans="1:13">
      <c r="A84" s="32">
        <f t="shared" si="2"/>
        <v>69</v>
      </c>
      <c r="B84" s="45">
        <f>'F1'!F80</f>
        <v>4</v>
      </c>
      <c r="C84" s="43">
        <f>'F1'!H80</f>
        <v>4.92</v>
      </c>
      <c r="D84" s="167"/>
      <c r="J84" s="32">
        <f t="shared" si="3"/>
        <v>69</v>
      </c>
      <c r="K84" s="45">
        <f>'F4'!I79</f>
        <v>3.25</v>
      </c>
      <c r="L84" s="45">
        <f>'F4'!N79</f>
        <v>3.9975000000000001</v>
      </c>
      <c r="M84" s="167"/>
    </row>
    <row r="85" spans="1:13">
      <c r="A85" s="32">
        <f t="shared" si="2"/>
        <v>70</v>
      </c>
      <c r="B85" s="45">
        <f>'F1'!F81</f>
        <v>4</v>
      </c>
      <c r="C85" s="43">
        <f>'F1'!H81</f>
        <v>2.44</v>
      </c>
      <c r="D85" s="167"/>
      <c r="J85" s="32">
        <f t="shared" si="3"/>
        <v>70</v>
      </c>
      <c r="K85" s="45">
        <f>'F4'!I80</f>
        <v>3.25</v>
      </c>
      <c r="L85" s="45">
        <f>'F4'!N80</f>
        <v>1.9824999999999999</v>
      </c>
      <c r="M85" s="167"/>
    </row>
    <row r="86" spans="1:13">
      <c r="A86" s="32">
        <f t="shared" si="2"/>
        <v>71</v>
      </c>
      <c r="B86" s="45">
        <f>'F1'!F82</f>
        <v>3</v>
      </c>
      <c r="C86" s="43">
        <f>'F1'!H82</f>
        <v>1.83</v>
      </c>
      <c r="D86" s="167"/>
      <c r="J86" s="32">
        <f t="shared" si="3"/>
        <v>71</v>
      </c>
      <c r="K86" s="45">
        <f>'F4'!I81</f>
        <v>3.25</v>
      </c>
      <c r="L86" s="45">
        <f>'F4'!N81</f>
        <v>1.9824999999999999</v>
      </c>
      <c r="M86" s="167"/>
    </row>
    <row r="87" spans="1:13">
      <c r="A87" s="32">
        <f t="shared" si="2"/>
        <v>72</v>
      </c>
      <c r="B87" s="45">
        <f>'F1'!F83</f>
        <v>3</v>
      </c>
      <c r="C87" s="43">
        <f>'F1'!H83</f>
        <v>1.83</v>
      </c>
      <c r="D87" s="167"/>
      <c r="J87" s="32">
        <f t="shared" si="3"/>
        <v>72</v>
      </c>
      <c r="K87" s="45">
        <f>'F4'!I82</f>
        <v>3.25</v>
      </c>
      <c r="L87" s="45">
        <f>'F4'!N82</f>
        <v>1.9824999999999999</v>
      </c>
      <c r="M87" s="167"/>
    </row>
    <row r="88" spans="1:13">
      <c r="A88" s="32">
        <f t="shared" si="2"/>
        <v>73</v>
      </c>
      <c r="B88" s="45">
        <f>'F1'!F84</f>
        <v>3</v>
      </c>
      <c r="C88" s="43">
        <f>'F1'!H84</f>
        <v>1.83</v>
      </c>
      <c r="D88" s="167"/>
      <c r="J88" s="32">
        <f t="shared" si="3"/>
        <v>73</v>
      </c>
      <c r="K88" s="45">
        <f>'F4'!I83</f>
        <v>3.25</v>
      </c>
      <c r="L88" s="45">
        <f>'F4'!N83</f>
        <v>1.9824999999999999</v>
      </c>
      <c r="M88" s="167"/>
    </row>
    <row r="89" spans="1:13">
      <c r="A89" s="32">
        <f t="shared" si="2"/>
        <v>74</v>
      </c>
      <c r="B89" s="45">
        <f>'F1'!F85</f>
        <v>4</v>
      </c>
      <c r="C89" s="43">
        <f>'F1'!H85</f>
        <v>4.92</v>
      </c>
      <c r="D89" s="167"/>
      <c r="J89" s="32">
        <f t="shared" si="3"/>
        <v>74</v>
      </c>
      <c r="K89" s="45">
        <f>'F4'!I84</f>
        <v>3.25</v>
      </c>
      <c r="L89" s="45">
        <f>'F4'!N84</f>
        <v>3.9975000000000001</v>
      </c>
      <c r="M89" s="167"/>
    </row>
    <row r="90" spans="1:13">
      <c r="A90" s="32">
        <f t="shared" si="2"/>
        <v>75</v>
      </c>
      <c r="B90" s="45">
        <f>'F1'!F86</f>
        <v>3</v>
      </c>
      <c r="C90" s="43">
        <f>'F1'!H86</f>
        <v>7.38</v>
      </c>
      <c r="D90" s="167"/>
      <c r="J90" s="32">
        <f t="shared" si="3"/>
        <v>75</v>
      </c>
      <c r="K90" s="45">
        <f>'F4'!I85</f>
        <v>3.25</v>
      </c>
      <c r="L90" s="45">
        <f>'F4'!N85</f>
        <v>7.9950000000000001</v>
      </c>
      <c r="M90" s="167"/>
    </row>
    <row r="91" spans="1:13">
      <c r="A91" s="32">
        <f t="shared" si="2"/>
        <v>76</v>
      </c>
      <c r="B91" s="45">
        <f>'F1'!F87</f>
        <v>4</v>
      </c>
      <c r="C91" s="43">
        <f>'F1'!H87</f>
        <v>2.44</v>
      </c>
      <c r="D91" s="167"/>
      <c r="J91" s="32">
        <f t="shared" si="3"/>
        <v>76</v>
      </c>
      <c r="K91" s="45">
        <f>'F4'!I86</f>
        <v>3.25</v>
      </c>
      <c r="L91" s="45">
        <f>'F4'!N86</f>
        <v>1.9824999999999999</v>
      </c>
      <c r="M91" s="167"/>
    </row>
    <row r="92" spans="1:13">
      <c r="A92" s="32">
        <f t="shared" si="2"/>
        <v>77</v>
      </c>
      <c r="B92" s="45">
        <f>'F1'!F88</f>
        <v>3.85</v>
      </c>
      <c r="C92" s="43">
        <f>'F1'!H88</f>
        <v>4.7355</v>
      </c>
      <c r="D92" s="167"/>
      <c r="J92" s="32">
        <f t="shared" si="3"/>
        <v>77</v>
      </c>
      <c r="K92" s="45">
        <f>'F4'!I87</f>
        <v>3.25</v>
      </c>
      <c r="L92" s="45">
        <f>'F4'!N87</f>
        <v>3.9975000000000001</v>
      </c>
      <c r="M92" s="167"/>
    </row>
    <row r="93" spans="1:13">
      <c r="A93" s="32">
        <f t="shared" si="2"/>
        <v>78</v>
      </c>
      <c r="B93" s="45">
        <f>'F1'!F89</f>
        <v>4</v>
      </c>
      <c r="C93" s="43">
        <f>'F1'!H89</f>
        <v>2.44</v>
      </c>
      <c r="D93" s="167"/>
      <c r="J93" s="32">
        <f t="shared" si="3"/>
        <v>78</v>
      </c>
      <c r="K93" s="45">
        <f>'F4'!I88</f>
        <v>3.25</v>
      </c>
      <c r="L93" s="45">
        <f>'F4'!N88</f>
        <v>1.9824999999999999</v>
      </c>
      <c r="M93" s="167"/>
    </row>
    <row r="94" spans="1:13">
      <c r="A94" s="32">
        <f t="shared" si="2"/>
        <v>79</v>
      </c>
      <c r="B94" s="45">
        <f>'F1'!F90</f>
        <v>3</v>
      </c>
      <c r="C94" s="43">
        <f>'F1'!H90</f>
        <v>3.69</v>
      </c>
      <c r="D94" s="167"/>
      <c r="J94" s="32">
        <f t="shared" si="3"/>
        <v>79</v>
      </c>
      <c r="K94" s="45">
        <f>'F4'!I89</f>
        <v>3.25</v>
      </c>
      <c r="L94" s="45">
        <f>'F4'!N89</f>
        <v>3.9975000000000001</v>
      </c>
      <c r="M94" s="167"/>
    </row>
    <row r="95" spans="1:13">
      <c r="A95" s="32">
        <f t="shared" si="2"/>
        <v>80</v>
      </c>
      <c r="B95" s="45">
        <f>'F1'!F91</f>
        <v>3</v>
      </c>
      <c r="C95" s="43">
        <f>'F1'!H91</f>
        <v>1.83</v>
      </c>
      <c r="D95" s="167"/>
      <c r="J95" s="32">
        <f t="shared" si="3"/>
        <v>80</v>
      </c>
      <c r="K95" s="45">
        <f>'F4'!I90</f>
        <v>3.25</v>
      </c>
      <c r="L95" s="45">
        <f>'F4'!N90</f>
        <v>1.9824999999999999</v>
      </c>
      <c r="M95" s="167"/>
    </row>
    <row r="96" spans="1:13">
      <c r="A96" s="32">
        <f t="shared" si="2"/>
        <v>81</v>
      </c>
      <c r="B96" s="45">
        <f>'F1'!F92</f>
        <v>2</v>
      </c>
      <c r="C96" s="43">
        <f>'F1'!H92</f>
        <v>0.62</v>
      </c>
      <c r="D96" s="167"/>
      <c r="J96" s="32">
        <f t="shared" si="3"/>
        <v>81</v>
      </c>
      <c r="K96" s="45">
        <f>'F4'!I91</f>
        <v>3.25</v>
      </c>
      <c r="L96" s="45">
        <f>'F4'!N91</f>
        <v>1.0075000000000001</v>
      </c>
      <c r="M96" s="167"/>
    </row>
    <row r="97" spans="1:13">
      <c r="A97" s="32">
        <f t="shared" si="2"/>
        <v>82</v>
      </c>
      <c r="B97" s="45">
        <f>'F1'!F93</f>
        <v>3</v>
      </c>
      <c r="C97" s="43">
        <f>'F1'!H93</f>
        <v>0.92999999999999994</v>
      </c>
      <c r="D97" s="167"/>
      <c r="J97" s="32">
        <f t="shared" si="3"/>
        <v>82</v>
      </c>
      <c r="K97" s="45">
        <f>'F4'!I92</f>
        <v>3.25</v>
      </c>
      <c r="L97" s="45">
        <f>'F4'!N92</f>
        <v>1.0075000000000001</v>
      </c>
      <c r="M97" s="167"/>
    </row>
    <row r="98" spans="1:13">
      <c r="A98" s="32">
        <f t="shared" si="2"/>
        <v>83</v>
      </c>
      <c r="B98" s="45">
        <f>'F1'!F94</f>
        <v>4</v>
      </c>
      <c r="C98" s="43">
        <f>'F1'!H94</f>
        <v>1.24</v>
      </c>
      <c r="D98" s="167"/>
      <c r="J98" s="32">
        <f t="shared" si="3"/>
        <v>83</v>
      </c>
      <c r="K98" s="45">
        <f>'F4'!I93</f>
        <v>3.25</v>
      </c>
      <c r="L98" s="45">
        <f>'F4'!N93</f>
        <v>1.0075000000000001</v>
      </c>
      <c r="M98" s="167"/>
    </row>
    <row r="99" spans="1:13">
      <c r="A99" s="32">
        <f t="shared" si="2"/>
        <v>84</v>
      </c>
      <c r="B99" s="45">
        <f>'F1'!F95</f>
        <v>3</v>
      </c>
      <c r="C99" s="43">
        <f>'F1'!H95</f>
        <v>0.92999999999999994</v>
      </c>
      <c r="D99" s="167"/>
      <c r="J99" s="32">
        <f t="shared" si="3"/>
        <v>84</v>
      </c>
      <c r="K99" s="45">
        <f>'F4'!I94</f>
        <v>3.25</v>
      </c>
      <c r="L99" s="45">
        <f>'F4'!N94</f>
        <v>1.0075000000000001</v>
      </c>
      <c r="M99" s="167"/>
    </row>
    <row r="100" spans="1:13">
      <c r="A100" s="32">
        <f t="shared" si="2"/>
        <v>85</v>
      </c>
      <c r="B100" s="45">
        <f>'F1'!F96</f>
        <v>4</v>
      </c>
      <c r="C100" s="43">
        <f>'F1'!H96</f>
        <v>1.24</v>
      </c>
      <c r="D100" s="167"/>
      <c r="J100" s="32">
        <f t="shared" si="3"/>
        <v>85</v>
      </c>
      <c r="K100" s="45">
        <f>'F4'!I95</f>
        <v>3.25</v>
      </c>
      <c r="L100" s="45">
        <f>'F4'!N95</f>
        <v>1.0075000000000001</v>
      </c>
      <c r="M100" s="167"/>
    </row>
    <row r="101" spans="1:13">
      <c r="A101" s="32">
        <f t="shared" si="2"/>
        <v>86</v>
      </c>
      <c r="B101" s="45">
        <f>'F1'!F97</f>
        <v>3.2307692307692308</v>
      </c>
      <c r="C101" s="43">
        <f>'F1'!H97</f>
        <v>1.9707692307692308</v>
      </c>
      <c r="D101" s="167"/>
      <c r="J101" s="32">
        <f t="shared" si="3"/>
        <v>86</v>
      </c>
      <c r="K101" s="45">
        <f>'F4'!I96</f>
        <v>3.25</v>
      </c>
      <c r="L101" s="45">
        <f>'F4'!N96</f>
        <v>1.9824999999999999</v>
      </c>
      <c r="M101" s="167"/>
    </row>
    <row r="102" spans="1:13">
      <c r="A102" s="32">
        <f t="shared" si="2"/>
        <v>87</v>
      </c>
      <c r="B102" s="45">
        <f>'F1'!F98</f>
        <v>3</v>
      </c>
      <c r="C102" s="43">
        <f>'F1'!H98</f>
        <v>0.92999999999999994</v>
      </c>
      <c r="D102" s="167"/>
      <c r="J102" s="32">
        <f t="shared" si="3"/>
        <v>87</v>
      </c>
      <c r="K102" s="45">
        <f>'F4'!I97</f>
        <v>3.25</v>
      </c>
      <c r="L102" s="45">
        <f>'F4'!N97</f>
        <v>1.0075000000000001</v>
      </c>
      <c r="M102" s="167"/>
    </row>
    <row r="103" spans="1:13">
      <c r="A103" s="32">
        <f>A102+1</f>
        <v>88</v>
      </c>
      <c r="B103" s="45">
        <f>'F1'!F99</f>
        <v>4</v>
      </c>
      <c r="C103" s="43">
        <f>'F1'!H99</f>
        <v>3.76</v>
      </c>
      <c r="D103" s="167"/>
      <c r="J103" s="32">
        <f t="shared" si="3"/>
        <v>88</v>
      </c>
      <c r="K103" s="45">
        <f>'F4'!I98</f>
        <v>3.25</v>
      </c>
      <c r="L103" s="45">
        <f>'F4'!N98</f>
        <v>3.0549999999999997</v>
      </c>
      <c r="M103" s="167"/>
    </row>
    <row r="104" spans="1:13">
      <c r="A104" s="32">
        <f t="shared" ref="A104:A112" si="4">A103+1</f>
        <v>89</v>
      </c>
      <c r="B104" s="45">
        <f>'F1'!F100</f>
        <v>2.6470588235294121</v>
      </c>
      <c r="C104" s="43">
        <f>'F1'!H100</f>
        <v>2.4882352941176471</v>
      </c>
      <c r="D104" s="167"/>
      <c r="J104" s="32">
        <f t="shared" si="3"/>
        <v>89</v>
      </c>
      <c r="K104" s="45">
        <f>'F4'!I99</f>
        <v>3.25</v>
      </c>
      <c r="L104" s="45">
        <f>'F4'!N99</f>
        <v>3.0549999999999997</v>
      </c>
      <c r="M104" s="167"/>
    </row>
    <row r="105" spans="1:13">
      <c r="A105" s="32">
        <f t="shared" si="4"/>
        <v>90</v>
      </c>
      <c r="B105" s="45">
        <f>'F1'!F101</f>
        <v>1.5686274509803921</v>
      </c>
      <c r="C105" s="43">
        <f>'F1'!H101</f>
        <v>1.4745098039215685</v>
      </c>
      <c r="D105" s="167"/>
      <c r="J105" s="32">
        <f t="shared" si="3"/>
        <v>90</v>
      </c>
      <c r="K105" s="45">
        <f>'F4'!I100</f>
        <v>3.25</v>
      </c>
      <c r="L105" s="45">
        <f>'F4'!N100</f>
        <v>3.0549999999999997</v>
      </c>
      <c r="M105" s="167"/>
    </row>
    <row r="106" spans="1:13">
      <c r="A106" s="32">
        <f t="shared" si="4"/>
        <v>91</v>
      </c>
      <c r="B106" s="45">
        <f>'F1'!F102</f>
        <v>2</v>
      </c>
      <c r="C106" s="43">
        <f>'F1'!H102</f>
        <v>1.88</v>
      </c>
      <c r="D106" s="167"/>
      <c r="J106" s="32">
        <f t="shared" si="3"/>
        <v>91</v>
      </c>
      <c r="K106" s="45">
        <f>'F4'!I101</f>
        <v>3.25</v>
      </c>
      <c r="L106" s="45">
        <f>'F4'!N101</f>
        <v>3.0549999999999997</v>
      </c>
      <c r="M106" s="167"/>
    </row>
    <row r="107" spans="1:13">
      <c r="A107" s="32">
        <f t="shared" si="4"/>
        <v>92</v>
      </c>
      <c r="B107" s="45">
        <f>'F1'!F103</f>
        <v>2</v>
      </c>
      <c r="C107" s="43">
        <f>'F1'!H103</f>
        <v>1.88</v>
      </c>
      <c r="D107" s="167"/>
      <c r="J107" s="32">
        <f t="shared" si="3"/>
        <v>92</v>
      </c>
      <c r="K107" s="45">
        <f>'F4'!I102</f>
        <v>3.25</v>
      </c>
      <c r="L107" s="45">
        <f>'F4'!N102</f>
        <v>3.0549999999999997</v>
      </c>
      <c r="M107" s="167"/>
    </row>
    <row r="108" spans="1:13">
      <c r="A108" s="32">
        <f t="shared" si="4"/>
        <v>93</v>
      </c>
      <c r="B108" s="45">
        <f>'F1'!F104</f>
        <v>1</v>
      </c>
      <c r="C108" s="43">
        <f>'F1'!H104</f>
        <v>0.94</v>
      </c>
      <c r="D108" s="167"/>
      <c r="J108" s="32">
        <f t="shared" si="3"/>
        <v>93</v>
      </c>
      <c r="K108" s="45">
        <f>'F4'!I103</f>
        <v>3.25</v>
      </c>
      <c r="L108" s="45">
        <f>'F4'!N103</f>
        <v>3.0549999999999997</v>
      </c>
      <c r="M108" s="167"/>
    </row>
    <row r="109" spans="1:13">
      <c r="A109" s="32">
        <f t="shared" si="4"/>
        <v>94</v>
      </c>
      <c r="B109" s="45">
        <f>'F1'!F105</f>
        <v>1</v>
      </c>
      <c r="C109" s="43">
        <f>'F1'!H105</f>
        <v>0.94</v>
      </c>
      <c r="D109" s="167"/>
      <c r="J109" s="32">
        <f t="shared" si="3"/>
        <v>94</v>
      </c>
      <c r="K109" s="45">
        <f>'F4'!I104</f>
        <v>3.25</v>
      </c>
      <c r="L109" s="45">
        <f>'F4'!N104</f>
        <v>3.0549999999999997</v>
      </c>
      <c r="M109" s="167"/>
    </row>
    <row r="110" spans="1:13">
      <c r="A110" s="32">
        <f t="shared" si="4"/>
        <v>95</v>
      </c>
      <c r="B110" s="45">
        <f>'F1'!F106</f>
        <v>3.3529411764705883</v>
      </c>
      <c r="C110" s="43">
        <f>'F1'!H106</f>
        <v>3.151764705882353</v>
      </c>
      <c r="D110" s="167"/>
      <c r="J110" s="32">
        <f t="shared" si="3"/>
        <v>95</v>
      </c>
      <c r="K110" s="45">
        <f>'F4'!I105</f>
        <v>3.25</v>
      </c>
      <c r="L110" s="45">
        <f>'F4'!N105</f>
        <v>3.0549999999999997</v>
      </c>
      <c r="M110" s="167"/>
    </row>
    <row r="111" spans="1:13">
      <c r="A111" s="32">
        <f t="shared" si="4"/>
        <v>96</v>
      </c>
      <c r="B111" s="45">
        <f>'F1'!F107</f>
        <v>4</v>
      </c>
      <c r="C111" s="43">
        <f>'F1'!H107</f>
        <v>3.76</v>
      </c>
      <c r="D111" s="167"/>
      <c r="J111" s="32">
        <f t="shared" si="3"/>
        <v>96</v>
      </c>
      <c r="K111" s="45">
        <f>'F4'!I106</f>
        <v>3.25</v>
      </c>
      <c r="L111" s="45">
        <f>'F4'!N106</f>
        <v>3.0549999999999997</v>
      </c>
      <c r="M111" s="167"/>
    </row>
    <row r="112" spans="1:13">
      <c r="A112" s="32">
        <f t="shared" si="4"/>
        <v>97</v>
      </c>
      <c r="B112" s="45">
        <f>'F1'!F108</f>
        <v>4</v>
      </c>
      <c r="C112" s="43">
        <f>'F1'!H108</f>
        <v>3.76</v>
      </c>
      <c r="D112" s="167"/>
      <c r="J112" s="32">
        <f t="shared" si="3"/>
        <v>97</v>
      </c>
      <c r="K112" s="45">
        <f>'F4'!I107</f>
        <v>3.25</v>
      </c>
      <c r="L112" s="45">
        <f>'F4'!N107</f>
        <v>3.0549999999999997</v>
      </c>
      <c r="M112" s="167"/>
    </row>
    <row r="113" spans="1:13">
      <c r="A113" s="32">
        <f>A112+1</f>
        <v>98</v>
      </c>
      <c r="B113" s="45">
        <f>'F1'!F109</f>
        <v>4</v>
      </c>
      <c r="C113" s="43">
        <f>'F1'!H109</f>
        <v>3.76</v>
      </c>
      <c r="D113" s="167"/>
      <c r="J113" s="32">
        <f t="shared" si="3"/>
        <v>98</v>
      </c>
      <c r="K113" s="45">
        <f>'F4'!I108</f>
        <v>3.25</v>
      </c>
      <c r="L113" s="45">
        <f>'F4'!N108</f>
        <v>3.0549999999999997</v>
      </c>
      <c r="M113" s="167"/>
    </row>
    <row r="114" spans="1:13">
      <c r="A114" s="32">
        <f>A113+1</f>
        <v>99</v>
      </c>
      <c r="B114" s="45">
        <f>'F1'!F110</f>
        <v>3</v>
      </c>
      <c r="C114" s="43">
        <f>'F1'!H110</f>
        <v>2.82</v>
      </c>
      <c r="D114" s="167"/>
      <c r="J114" s="32">
        <f t="shared" si="3"/>
        <v>99</v>
      </c>
      <c r="K114" s="45">
        <f>'F4'!I109</f>
        <v>3.25</v>
      </c>
      <c r="L114" s="45">
        <f>'F4'!N109</f>
        <v>3.0549999999999997</v>
      </c>
      <c r="M114" s="167"/>
    </row>
    <row r="115" spans="1:13">
      <c r="A115" s="32">
        <f>A114+1</f>
        <v>100</v>
      </c>
      <c r="B115" s="45">
        <f>'F1'!F111</f>
        <v>2.5</v>
      </c>
      <c r="C115" s="43">
        <f>'F1'!H111</f>
        <v>2.3499999999999996</v>
      </c>
      <c r="D115" s="167"/>
      <c r="J115" s="32">
        <f t="shared" si="3"/>
        <v>100</v>
      </c>
      <c r="K115" s="45">
        <f>'F4'!I110</f>
        <v>3</v>
      </c>
      <c r="L115" s="45">
        <f>'F4'!N110</f>
        <v>2.82</v>
      </c>
      <c r="M115" s="167"/>
    </row>
    <row r="116" spans="1:13">
      <c r="A116" s="34">
        <v>101</v>
      </c>
      <c r="B116" s="45">
        <f>'F1'!F112</f>
        <v>3</v>
      </c>
      <c r="C116" s="43">
        <f>'F1'!H112</f>
        <v>2.82</v>
      </c>
      <c r="D116" s="168"/>
      <c r="J116" s="32">
        <v>101</v>
      </c>
      <c r="K116" s="45">
        <f>'F4'!I111</f>
        <v>2.1666666666666665</v>
      </c>
      <c r="L116" s="45">
        <f>'F4'!N111</f>
        <v>2.0366666666666666</v>
      </c>
      <c r="M116" s="168"/>
    </row>
    <row r="117" spans="1:13">
      <c r="A117" s="1089" t="s">
        <v>946</v>
      </c>
      <c r="B117" s="1090"/>
      <c r="C117" s="46">
        <f>SUM(C16:C116)</f>
        <v>303.25155998707186</v>
      </c>
      <c r="J117" s="1087" t="s">
        <v>946</v>
      </c>
      <c r="K117" s="1088"/>
      <c r="L117" s="47">
        <f>SUM(L16:L116)</f>
        <v>323.37050000000005</v>
      </c>
    </row>
  </sheetData>
  <sheetProtection password="CC78" sheet="1" objects="1" scenarios="1" formatColumns="0" formatRows="0" selectLockedCells="1"/>
  <mergeCells count="26">
    <mergeCell ref="E5:I5"/>
    <mergeCell ref="E6:I6"/>
    <mergeCell ref="E8:F8"/>
    <mergeCell ref="O14:P14"/>
    <mergeCell ref="A7:C7"/>
    <mergeCell ref="A9:C9"/>
    <mergeCell ref="A12:G12"/>
    <mergeCell ref="A14:A15"/>
    <mergeCell ref="J14:J15"/>
    <mergeCell ref="J12:P12"/>
    <mergeCell ref="B14:C14"/>
    <mergeCell ref="K14:L14"/>
    <mergeCell ref="N14:N15"/>
    <mergeCell ref="A8:C8"/>
    <mergeCell ref="A10:C10"/>
    <mergeCell ref="A5:C5"/>
    <mergeCell ref="A6:C6"/>
    <mergeCell ref="E14:E15"/>
    <mergeCell ref="F14:G14"/>
    <mergeCell ref="E9:F9"/>
    <mergeCell ref="E10:F10"/>
    <mergeCell ref="J117:K117"/>
    <mergeCell ref="A117:B117"/>
    <mergeCell ref="E31:H31"/>
    <mergeCell ref="E41:H41"/>
    <mergeCell ref="E46:F46"/>
  </mergeCells>
  <phoneticPr fontId="35" type="noConversion"/>
  <pageMargins left="0.7" right="0.7" top="0.75" bottom="0.75" header="0.3" footer="0.3"/>
  <pageSetup paperSize="9" orientation="portrait" horizontalDpi="2400" verticalDpi="2400" r:id="rId1"/>
  <headerFooter>
    <oddFooter>&amp;LResume Format - &amp;D@&amp;T&amp;CMAGISTER&amp;R&amp;P/&amp;N</oddFooter>
  </headerFooter>
  <drawing r:id="rId2"/>
</worksheet>
</file>

<file path=xl/worksheets/sheet11.xml><?xml version="1.0" encoding="utf-8"?>
<worksheet xmlns="http://schemas.openxmlformats.org/spreadsheetml/2006/main" xmlns:r="http://schemas.openxmlformats.org/officeDocument/2006/relationships">
  <dimension ref="A1:E51"/>
  <sheetViews>
    <sheetView workbookViewId="0">
      <selection activeCell="B8" sqref="B8:B9"/>
    </sheetView>
  </sheetViews>
  <sheetFormatPr defaultRowHeight="15"/>
  <cols>
    <col min="1" max="1" width="15.85546875" style="172" customWidth="1"/>
    <col min="2" max="2" width="60.7109375" style="172" customWidth="1"/>
    <col min="3" max="3" width="17" style="172" customWidth="1"/>
    <col min="4" max="4" width="9.140625" style="172"/>
    <col min="5" max="5" width="10.5703125" style="172" bestFit="1" customWidth="1"/>
    <col min="6" max="256" width="9.140625" style="172"/>
    <col min="257" max="257" width="15.85546875" style="172" customWidth="1"/>
    <col min="258" max="258" width="60.7109375" style="172" customWidth="1"/>
    <col min="259" max="259" width="17" style="172" customWidth="1"/>
    <col min="260" max="260" width="9.140625" style="172"/>
    <col min="261" max="261" width="10.5703125" style="172" bestFit="1" customWidth="1"/>
    <col min="262" max="512" width="9.140625" style="172"/>
    <col min="513" max="513" width="15.85546875" style="172" customWidth="1"/>
    <col min="514" max="514" width="60.7109375" style="172" customWidth="1"/>
    <col min="515" max="515" width="17" style="172" customWidth="1"/>
    <col min="516" max="516" width="9.140625" style="172"/>
    <col min="517" max="517" width="10.5703125" style="172" bestFit="1" customWidth="1"/>
    <col min="518" max="768" width="9.140625" style="172"/>
    <col min="769" max="769" width="15.85546875" style="172" customWidth="1"/>
    <col min="770" max="770" width="60.7109375" style="172" customWidth="1"/>
    <col min="771" max="771" width="17" style="172" customWidth="1"/>
    <col min="772" max="772" width="9.140625" style="172"/>
    <col min="773" max="773" width="10.5703125" style="172" bestFit="1" customWidth="1"/>
    <col min="774" max="1024" width="9.140625" style="172"/>
    <col min="1025" max="1025" width="15.85546875" style="172" customWidth="1"/>
    <col min="1026" max="1026" width="60.7109375" style="172" customWidth="1"/>
    <col min="1027" max="1027" width="17" style="172" customWidth="1"/>
    <col min="1028" max="1028" width="9.140625" style="172"/>
    <col min="1029" max="1029" width="10.5703125" style="172" bestFit="1" customWidth="1"/>
    <col min="1030" max="1280" width="9.140625" style="172"/>
    <col min="1281" max="1281" width="15.85546875" style="172" customWidth="1"/>
    <col min="1282" max="1282" width="60.7109375" style="172" customWidth="1"/>
    <col min="1283" max="1283" width="17" style="172" customWidth="1"/>
    <col min="1284" max="1284" width="9.140625" style="172"/>
    <col min="1285" max="1285" width="10.5703125" style="172" bestFit="1" customWidth="1"/>
    <col min="1286" max="1536" width="9.140625" style="172"/>
    <col min="1537" max="1537" width="15.85546875" style="172" customWidth="1"/>
    <col min="1538" max="1538" width="60.7109375" style="172" customWidth="1"/>
    <col min="1539" max="1539" width="17" style="172" customWidth="1"/>
    <col min="1540" max="1540" width="9.140625" style="172"/>
    <col min="1541" max="1541" width="10.5703125" style="172" bestFit="1" customWidth="1"/>
    <col min="1542" max="1792" width="9.140625" style="172"/>
    <col min="1793" max="1793" width="15.85546875" style="172" customWidth="1"/>
    <col min="1794" max="1794" width="60.7109375" style="172" customWidth="1"/>
    <col min="1795" max="1795" width="17" style="172" customWidth="1"/>
    <col min="1796" max="1796" width="9.140625" style="172"/>
    <col min="1797" max="1797" width="10.5703125" style="172" bestFit="1" customWidth="1"/>
    <col min="1798" max="2048" width="9.140625" style="172"/>
    <col min="2049" max="2049" width="15.85546875" style="172" customWidth="1"/>
    <col min="2050" max="2050" width="60.7109375" style="172" customWidth="1"/>
    <col min="2051" max="2051" width="17" style="172" customWidth="1"/>
    <col min="2052" max="2052" width="9.140625" style="172"/>
    <col min="2053" max="2053" width="10.5703125" style="172" bestFit="1" customWidth="1"/>
    <col min="2054" max="2304" width="9.140625" style="172"/>
    <col min="2305" max="2305" width="15.85546875" style="172" customWidth="1"/>
    <col min="2306" max="2306" width="60.7109375" style="172" customWidth="1"/>
    <col min="2307" max="2307" width="17" style="172" customWidth="1"/>
    <col min="2308" max="2308" width="9.140625" style="172"/>
    <col min="2309" max="2309" width="10.5703125" style="172" bestFit="1" customWidth="1"/>
    <col min="2310" max="2560" width="9.140625" style="172"/>
    <col min="2561" max="2561" width="15.85546875" style="172" customWidth="1"/>
    <col min="2562" max="2562" width="60.7109375" style="172" customWidth="1"/>
    <col min="2563" max="2563" width="17" style="172" customWidth="1"/>
    <col min="2564" max="2564" width="9.140625" style="172"/>
    <col min="2565" max="2565" width="10.5703125" style="172" bestFit="1" customWidth="1"/>
    <col min="2566" max="2816" width="9.140625" style="172"/>
    <col min="2817" max="2817" width="15.85546875" style="172" customWidth="1"/>
    <col min="2818" max="2818" width="60.7109375" style="172" customWidth="1"/>
    <col min="2819" max="2819" width="17" style="172" customWidth="1"/>
    <col min="2820" max="2820" width="9.140625" style="172"/>
    <col min="2821" max="2821" width="10.5703125" style="172" bestFit="1" customWidth="1"/>
    <col min="2822" max="3072" width="9.140625" style="172"/>
    <col min="3073" max="3073" width="15.85546875" style="172" customWidth="1"/>
    <col min="3074" max="3074" width="60.7109375" style="172" customWidth="1"/>
    <col min="3075" max="3075" width="17" style="172" customWidth="1"/>
    <col min="3076" max="3076" width="9.140625" style="172"/>
    <col min="3077" max="3077" width="10.5703125" style="172" bestFit="1" customWidth="1"/>
    <col min="3078" max="3328" width="9.140625" style="172"/>
    <col min="3329" max="3329" width="15.85546875" style="172" customWidth="1"/>
    <col min="3330" max="3330" width="60.7109375" style="172" customWidth="1"/>
    <col min="3331" max="3331" width="17" style="172" customWidth="1"/>
    <col min="3332" max="3332" width="9.140625" style="172"/>
    <col min="3333" max="3333" width="10.5703125" style="172" bestFit="1" customWidth="1"/>
    <col min="3334" max="3584" width="9.140625" style="172"/>
    <col min="3585" max="3585" width="15.85546875" style="172" customWidth="1"/>
    <col min="3586" max="3586" width="60.7109375" style="172" customWidth="1"/>
    <col min="3587" max="3587" width="17" style="172" customWidth="1"/>
    <col min="3588" max="3588" width="9.140625" style="172"/>
    <col min="3589" max="3589" width="10.5703125" style="172" bestFit="1" customWidth="1"/>
    <col min="3590" max="3840" width="9.140625" style="172"/>
    <col min="3841" max="3841" width="15.85546875" style="172" customWidth="1"/>
    <col min="3842" max="3842" width="60.7109375" style="172" customWidth="1"/>
    <col min="3843" max="3843" width="17" style="172" customWidth="1"/>
    <col min="3844" max="3844" width="9.140625" style="172"/>
    <col min="3845" max="3845" width="10.5703125" style="172" bestFit="1" customWidth="1"/>
    <col min="3846" max="4096" width="9.140625" style="172"/>
    <col min="4097" max="4097" width="15.85546875" style="172" customWidth="1"/>
    <col min="4098" max="4098" width="60.7109375" style="172" customWidth="1"/>
    <col min="4099" max="4099" width="17" style="172" customWidth="1"/>
    <col min="4100" max="4100" width="9.140625" style="172"/>
    <col min="4101" max="4101" width="10.5703125" style="172" bestFit="1" customWidth="1"/>
    <col min="4102" max="4352" width="9.140625" style="172"/>
    <col min="4353" max="4353" width="15.85546875" style="172" customWidth="1"/>
    <col min="4354" max="4354" width="60.7109375" style="172" customWidth="1"/>
    <col min="4355" max="4355" width="17" style="172" customWidth="1"/>
    <col min="4356" max="4356" width="9.140625" style="172"/>
    <col min="4357" max="4357" width="10.5703125" style="172" bestFit="1" customWidth="1"/>
    <col min="4358" max="4608" width="9.140625" style="172"/>
    <col min="4609" max="4609" width="15.85546875" style="172" customWidth="1"/>
    <col min="4610" max="4610" width="60.7109375" style="172" customWidth="1"/>
    <col min="4611" max="4611" width="17" style="172" customWidth="1"/>
    <col min="4612" max="4612" width="9.140625" style="172"/>
    <col min="4613" max="4613" width="10.5703125" style="172" bestFit="1" customWidth="1"/>
    <col min="4614" max="4864" width="9.140625" style="172"/>
    <col min="4865" max="4865" width="15.85546875" style="172" customWidth="1"/>
    <col min="4866" max="4866" width="60.7109375" style="172" customWidth="1"/>
    <col min="4867" max="4867" width="17" style="172" customWidth="1"/>
    <col min="4868" max="4868" width="9.140625" style="172"/>
    <col min="4869" max="4869" width="10.5703125" style="172" bestFit="1" customWidth="1"/>
    <col min="4870" max="5120" width="9.140625" style="172"/>
    <col min="5121" max="5121" width="15.85546875" style="172" customWidth="1"/>
    <col min="5122" max="5122" width="60.7109375" style="172" customWidth="1"/>
    <col min="5123" max="5123" width="17" style="172" customWidth="1"/>
    <col min="5124" max="5124" width="9.140625" style="172"/>
    <col min="5125" max="5125" width="10.5703125" style="172" bestFit="1" customWidth="1"/>
    <col min="5126" max="5376" width="9.140625" style="172"/>
    <col min="5377" max="5377" width="15.85546875" style="172" customWidth="1"/>
    <col min="5378" max="5378" width="60.7109375" style="172" customWidth="1"/>
    <col min="5379" max="5379" width="17" style="172" customWidth="1"/>
    <col min="5380" max="5380" width="9.140625" style="172"/>
    <col min="5381" max="5381" width="10.5703125" style="172" bestFit="1" customWidth="1"/>
    <col min="5382" max="5632" width="9.140625" style="172"/>
    <col min="5633" max="5633" width="15.85546875" style="172" customWidth="1"/>
    <col min="5634" max="5634" width="60.7109375" style="172" customWidth="1"/>
    <col min="5635" max="5635" width="17" style="172" customWidth="1"/>
    <col min="5636" max="5636" width="9.140625" style="172"/>
    <col min="5637" max="5637" width="10.5703125" style="172" bestFit="1" customWidth="1"/>
    <col min="5638" max="5888" width="9.140625" style="172"/>
    <col min="5889" max="5889" width="15.85546875" style="172" customWidth="1"/>
    <col min="5890" max="5890" width="60.7109375" style="172" customWidth="1"/>
    <col min="5891" max="5891" width="17" style="172" customWidth="1"/>
    <col min="5892" max="5892" width="9.140625" style="172"/>
    <col min="5893" max="5893" width="10.5703125" style="172" bestFit="1" customWidth="1"/>
    <col min="5894" max="6144" width="9.140625" style="172"/>
    <col min="6145" max="6145" width="15.85546875" style="172" customWidth="1"/>
    <col min="6146" max="6146" width="60.7109375" style="172" customWidth="1"/>
    <col min="6147" max="6147" width="17" style="172" customWidth="1"/>
    <col min="6148" max="6148" width="9.140625" style="172"/>
    <col min="6149" max="6149" width="10.5703125" style="172" bestFit="1" customWidth="1"/>
    <col min="6150" max="6400" width="9.140625" style="172"/>
    <col min="6401" max="6401" width="15.85546875" style="172" customWidth="1"/>
    <col min="6402" max="6402" width="60.7109375" style="172" customWidth="1"/>
    <col min="6403" max="6403" width="17" style="172" customWidth="1"/>
    <col min="6404" max="6404" width="9.140625" style="172"/>
    <col min="6405" max="6405" width="10.5703125" style="172" bestFit="1" customWidth="1"/>
    <col min="6406" max="6656" width="9.140625" style="172"/>
    <col min="6657" max="6657" width="15.85546875" style="172" customWidth="1"/>
    <col min="6658" max="6658" width="60.7109375" style="172" customWidth="1"/>
    <col min="6659" max="6659" width="17" style="172" customWidth="1"/>
    <col min="6660" max="6660" width="9.140625" style="172"/>
    <col min="6661" max="6661" width="10.5703125" style="172" bestFit="1" customWidth="1"/>
    <col min="6662" max="6912" width="9.140625" style="172"/>
    <col min="6913" max="6913" width="15.85546875" style="172" customWidth="1"/>
    <col min="6914" max="6914" width="60.7109375" style="172" customWidth="1"/>
    <col min="6915" max="6915" width="17" style="172" customWidth="1"/>
    <col min="6916" max="6916" width="9.140625" style="172"/>
    <col min="6917" max="6917" width="10.5703125" style="172" bestFit="1" customWidth="1"/>
    <col min="6918" max="7168" width="9.140625" style="172"/>
    <col min="7169" max="7169" width="15.85546875" style="172" customWidth="1"/>
    <col min="7170" max="7170" width="60.7109375" style="172" customWidth="1"/>
    <col min="7171" max="7171" width="17" style="172" customWidth="1"/>
    <col min="7172" max="7172" width="9.140625" style="172"/>
    <col min="7173" max="7173" width="10.5703125" style="172" bestFit="1" customWidth="1"/>
    <col min="7174" max="7424" width="9.140625" style="172"/>
    <col min="7425" max="7425" width="15.85546875" style="172" customWidth="1"/>
    <col min="7426" max="7426" width="60.7109375" style="172" customWidth="1"/>
    <col min="7427" max="7427" width="17" style="172" customWidth="1"/>
    <col min="7428" max="7428" width="9.140625" style="172"/>
    <col min="7429" max="7429" width="10.5703125" style="172" bestFit="1" customWidth="1"/>
    <col min="7430" max="7680" width="9.140625" style="172"/>
    <col min="7681" max="7681" width="15.85546875" style="172" customWidth="1"/>
    <col min="7682" max="7682" width="60.7109375" style="172" customWidth="1"/>
    <col min="7683" max="7683" width="17" style="172" customWidth="1"/>
    <col min="7684" max="7684" width="9.140625" style="172"/>
    <col min="7685" max="7685" width="10.5703125" style="172" bestFit="1" customWidth="1"/>
    <col min="7686" max="7936" width="9.140625" style="172"/>
    <col min="7937" max="7937" width="15.85546875" style="172" customWidth="1"/>
    <col min="7938" max="7938" width="60.7109375" style="172" customWidth="1"/>
    <col min="7939" max="7939" width="17" style="172" customWidth="1"/>
    <col min="7940" max="7940" width="9.140625" style="172"/>
    <col min="7941" max="7941" width="10.5703125" style="172" bestFit="1" customWidth="1"/>
    <col min="7942" max="8192" width="9.140625" style="172"/>
    <col min="8193" max="8193" width="15.85546875" style="172" customWidth="1"/>
    <col min="8194" max="8194" width="60.7109375" style="172" customWidth="1"/>
    <col min="8195" max="8195" width="17" style="172" customWidth="1"/>
    <col min="8196" max="8196" width="9.140625" style="172"/>
    <col min="8197" max="8197" width="10.5703125" style="172" bestFit="1" customWidth="1"/>
    <col min="8198" max="8448" width="9.140625" style="172"/>
    <col min="8449" max="8449" width="15.85546875" style="172" customWidth="1"/>
    <col min="8450" max="8450" width="60.7109375" style="172" customWidth="1"/>
    <col min="8451" max="8451" width="17" style="172" customWidth="1"/>
    <col min="8452" max="8452" width="9.140625" style="172"/>
    <col min="8453" max="8453" width="10.5703125" style="172" bestFit="1" customWidth="1"/>
    <col min="8454" max="8704" width="9.140625" style="172"/>
    <col min="8705" max="8705" width="15.85546875" style="172" customWidth="1"/>
    <col min="8706" max="8706" width="60.7109375" style="172" customWidth="1"/>
    <col min="8707" max="8707" width="17" style="172" customWidth="1"/>
    <col min="8708" max="8708" width="9.140625" style="172"/>
    <col min="8709" max="8709" width="10.5703125" style="172" bestFit="1" customWidth="1"/>
    <col min="8710" max="8960" width="9.140625" style="172"/>
    <col min="8961" max="8961" width="15.85546875" style="172" customWidth="1"/>
    <col min="8962" max="8962" width="60.7109375" style="172" customWidth="1"/>
    <col min="8963" max="8963" width="17" style="172" customWidth="1"/>
    <col min="8964" max="8964" width="9.140625" style="172"/>
    <col min="8965" max="8965" width="10.5703125" style="172" bestFit="1" customWidth="1"/>
    <col min="8966" max="9216" width="9.140625" style="172"/>
    <col min="9217" max="9217" width="15.85546875" style="172" customWidth="1"/>
    <col min="9218" max="9218" width="60.7109375" style="172" customWidth="1"/>
    <col min="9219" max="9219" width="17" style="172" customWidth="1"/>
    <col min="9220" max="9220" width="9.140625" style="172"/>
    <col min="9221" max="9221" width="10.5703125" style="172" bestFit="1" customWidth="1"/>
    <col min="9222" max="9472" width="9.140625" style="172"/>
    <col min="9473" max="9473" width="15.85546875" style="172" customWidth="1"/>
    <col min="9474" max="9474" width="60.7109375" style="172" customWidth="1"/>
    <col min="9475" max="9475" width="17" style="172" customWidth="1"/>
    <col min="9476" max="9476" width="9.140625" style="172"/>
    <col min="9477" max="9477" width="10.5703125" style="172" bestFit="1" customWidth="1"/>
    <col min="9478" max="9728" width="9.140625" style="172"/>
    <col min="9729" max="9729" width="15.85546875" style="172" customWidth="1"/>
    <col min="9730" max="9730" width="60.7109375" style="172" customWidth="1"/>
    <col min="9731" max="9731" width="17" style="172" customWidth="1"/>
    <col min="9732" max="9732" width="9.140625" style="172"/>
    <col min="9733" max="9733" width="10.5703125" style="172" bestFit="1" customWidth="1"/>
    <col min="9734" max="9984" width="9.140625" style="172"/>
    <col min="9985" max="9985" width="15.85546875" style="172" customWidth="1"/>
    <col min="9986" max="9986" width="60.7109375" style="172" customWidth="1"/>
    <col min="9987" max="9987" width="17" style="172" customWidth="1"/>
    <col min="9988" max="9988" width="9.140625" style="172"/>
    <col min="9989" max="9989" width="10.5703125" style="172" bestFit="1" customWidth="1"/>
    <col min="9990" max="10240" width="9.140625" style="172"/>
    <col min="10241" max="10241" width="15.85546875" style="172" customWidth="1"/>
    <col min="10242" max="10242" width="60.7109375" style="172" customWidth="1"/>
    <col min="10243" max="10243" width="17" style="172" customWidth="1"/>
    <col min="10244" max="10244" width="9.140625" style="172"/>
    <col min="10245" max="10245" width="10.5703125" style="172" bestFit="1" customWidth="1"/>
    <col min="10246" max="10496" width="9.140625" style="172"/>
    <col min="10497" max="10497" width="15.85546875" style="172" customWidth="1"/>
    <col min="10498" max="10498" width="60.7109375" style="172" customWidth="1"/>
    <col min="10499" max="10499" width="17" style="172" customWidth="1"/>
    <col min="10500" max="10500" width="9.140625" style="172"/>
    <col min="10501" max="10501" width="10.5703125" style="172" bestFit="1" customWidth="1"/>
    <col min="10502" max="10752" width="9.140625" style="172"/>
    <col min="10753" max="10753" width="15.85546875" style="172" customWidth="1"/>
    <col min="10754" max="10754" width="60.7109375" style="172" customWidth="1"/>
    <col min="10755" max="10755" width="17" style="172" customWidth="1"/>
    <col min="10756" max="10756" width="9.140625" style="172"/>
    <col min="10757" max="10757" width="10.5703125" style="172" bestFit="1" customWidth="1"/>
    <col min="10758" max="11008" width="9.140625" style="172"/>
    <col min="11009" max="11009" width="15.85546875" style="172" customWidth="1"/>
    <col min="11010" max="11010" width="60.7109375" style="172" customWidth="1"/>
    <col min="11011" max="11011" width="17" style="172" customWidth="1"/>
    <col min="11012" max="11012" width="9.140625" style="172"/>
    <col min="11013" max="11013" width="10.5703125" style="172" bestFit="1" customWidth="1"/>
    <col min="11014" max="11264" width="9.140625" style="172"/>
    <col min="11265" max="11265" width="15.85546875" style="172" customWidth="1"/>
    <col min="11266" max="11266" width="60.7109375" style="172" customWidth="1"/>
    <col min="11267" max="11267" width="17" style="172" customWidth="1"/>
    <col min="11268" max="11268" width="9.140625" style="172"/>
    <col min="11269" max="11269" width="10.5703125" style="172" bestFit="1" customWidth="1"/>
    <col min="11270" max="11520" width="9.140625" style="172"/>
    <col min="11521" max="11521" width="15.85546875" style="172" customWidth="1"/>
    <col min="11522" max="11522" width="60.7109375" style="172" customWidth="1"/>
    <col min="11523" max="11523" width="17" style="172" customWidth="1"/>
    <col min="11524" max="11524" width="9.140625" style="172"/>
    <col min="11525" max="11525" width="10.5703125" style="172" bestFit="1" customWidth="1"/>
    <col min="11526" max="11776" width="9.140625" style="172"/>
    <col min="11777" max="11777" width="15.85546875" style="172" customWidth="1"/>
    <col min="11778" max="11778" width="60.7109375" style="172" customWidth="1"/>
    <col min="11779" max="11779" width="17" style="172" customWidth="1"/>
    <col min="11780" max="11780" width="9.140625" style="172"/>
    <col min="11781" max="11781" width="10.5703125" style="172" bestFit="1" customWidth="1"/>
    <col min="11782" max="12032" width="9.140625" style="172"/>
    <col min="12033" max="12033" width="15.85546875" style="172" customWidth="1"/>
    <col min="12034" max="12034" width="60.7109375" style="172" customWidth="1"/>
    <col min="12035" max="12035" width="17" style="172" customWidth="1"/>
    <col min="12036" max="12036" width="9.140625" style="172"/>
    <col min="12037" max="12037" width="10.5703125" style="172" bestFit="1" customWidth="1"/>
    <col min="12038" max="12288" width="9.140625" style="172"/>
    <col min="12289" max="12289" width="15.85546875" style="172" customWidth="1"/>
    <col min="12290" max="12290" width="60.7109375" style="172" customWidth="1"/>
    <col min="12291" max="12291" width="17" style="172" customWidth="1"/>
    <col min="12292" max="12292" width="9.140625" style="172"/>
    <col min="12293" max="12293" width="10.5703125" style="172" bestFit="1" customWidth="1"/>
    <col min="12294" max="12544" width="9.140625" style="172"/>
    <col min="12545" max="12545" width="15.85546875" style="172" customWidth="1"/>
    <col min="12546" max="12546" width="60.7109375" style="172" customWidth="1"/>
    <col min="12547" max="12547" width="17" style="172" customWidth="1"/>
    <col min="12548" max="12548" width="9.140625" style="172"/>
    <col min="12549" max="12549" width="10.5703125" style="172" bestFit="1" customWidth="1"/>
    <col min="12550" max="12800" width="9.140625" style="172"/>
    <col min="12801" max="12801" width="15.85546875" style="172" customWidth="1"/>
    <col min="12802" max="12802" width="60.7109375" style="172" customWidth="1"/>
    <col min="12803" max="12803" width="17" style="172" customWidth="1"/>
    <col min="12804" max="12804" width="9.140625" style="172"/>
    <col min="12805" max="12805" width="10.5703125" style="172" bestFit="1" customWidth="1"/>
    <col min="12806" max="13056" width="9.140625" style="172"/>
    <col min="13057" max="13057" width="15.85546875" style="172" customWidth="1"/>
    <col min="13058" max="13058" width="60.7109375" style="172" customWidth="1"/>
    <col min="13059" max="13059" width="17" style="172" customWidth="1"/>
    <col min="13060" max="13060" width="9.140625" style="172"/>
    <col min="13061" max="13061" width="10.5703125" style="172" bestFit="1" customWidth="1"/>
    <col min="13062" max="13312" width="9.140625" style="172"/>
    <col min="13313" max="13313" width="15.85546875" style="172" customWidth="1"/>
    <col min="13314" max="13314" width="60.7109375" style="172" customWidth="1"/>
    <col min="13315" max="13315" width="17" style="172" customWidth="1"/>
    <col min="13316" max="13316" width="9.140625" style="172"/>
    <col min="13317" max="13317" width="10.5703125" style="172" bestFit="1" customWidth="1"/>
    <col min="13318" max="13568" width="9.140625" style="172"/>
    <col min="13569" max="13569" width="15.85546875" style="172" customWidth="1"/>
    <col min="13570" max="13570" width="60.7109375" style="172" customWidth="1"/>
    <col min="13571" max="13571" width="17" style="172" customWidth="1"/>
    <col min="13572" max="13572" width="9.140625" style="172"/>
    <col min="13573" max="13573" width="10.5703125" style="172" bestFit="1" customWidth="1"/>
    <col min="13574" max="13824" width="9.140625" style="172"/>
    <col min="13825" max="13825" width="15.85546875" style="172" customWidth="1"/>
    <col min="13826" max="13826" width="60.7109375" style="172" customWidth="1"/>
    <col min="13827" max="13827" width="17" style="172" customWidth="1"/>
    <col min="13828" max="13828" width="9.140625" style="172"/>
    <col min="13829" max="13829" width="10.5703125" style="172" bestFit="1" customWidth="1"/>
    <col min="13830" max="14080" width="9.140625" style="172"/>
    <col min="14081" max="14081" width="15.85546875" style="172" customWidth="1"/>
    <col min="14082" max="14082" width="60.7109375" style="172" customWidth="1"/>
    <col min="14083" max="14083" width="17" style="172" customWidth="1"/>
    <col min="14084" max="14084" width="9.140625" style="172"/>
    <col min="14085" max="14085" width="10.5703125" style="172" bestFit="1" customWidth="1"/>
    <col min="14086" max="14336" width="9.140625" style="172"/>
    <col min="14337" max="14337" width="15.85546875" style="172" customWidth="1"/>
    <col min="14338" max="14338" width="60.7109375" style="172" customWidth="1"/>
    <col min="14339" max="14339" width="17" style="172" customWidth="1"/>
    <col min="14340" max="14340" width="9.140625" style="172"/>
    <col min="14341" max="14341" width="10.5703125" style="172" bestFit="1" customWidth="1"/>
    <col min="14342" max="14592" width="9.140625" style="172"/>
    <col min="14593" max="14593" width="15.85546875" style="172" customWidth="1"/>
    <col min="14594" max="14594" width="60.7109375" style="172" customWidth="1"/>
    <col min="14595" max="14595" width="17" style="172" customWidth="1"/>
    <col min="14596" max="14596" width="9.140625" style="172"/>
    <col min="14597" max="14597" width="10.5703125" style="172" bestFit="1" customWidth="1"/>
    <col min="14598" max="14848" width="9.140625" style="172"/>
    <col min="14849" max="14849" width="15.85546875" style="172" customWidth="1"/>
    <col min="14850" max="14850" width="60.7109375" style="172" customWidth="1"/>
    <col min="14851" max="14851" width="17" style="172" customWidth="1"/>
    <col min="14852" max="14852" width="9.140625" style="172"/>
    <col min="14853" max="14853" width="10.5703125" style="172" bestFit="1" customWidth="1"/>
    <col min="14854" max="15104" width="9.140625" style="172"/>
    <col min="15105" max="15105" width="15.85546875" style="172" customWidth="1"/>
    <col min="15106" max="15106" width="60.7109375" style="172" customWidth="1"/>
    <col min="15107" max="15107" width="17" style="172" customWidth="1"/>
    <col min="15108" max="15108" width="9.140625" style="172"/>
    <col min="15109" max="15109" width="10.5703125" style="172" bestFit="1" customWidth="1"/>
    <col min="15110" max="15360" width="9.140625" style="172"/>
    <col min="15361" max="15361" width="15.85546875" style="172" customWidth="1"/>
    <col min="15362" max="15362" width="60.7109375" style="172" customWidth="1"/>
    <col min="15363" max="15363" width="17" style="172" customWidth="1"/>
    <col min="15364" max="15364" width="9.140625" style="172"/>
    <col min="15365" max="15365" width="10.5703125" style="172" bestFit="1" customWidth="1"/>
    <col min="15366" max="15616" width="9.140625" style="172"/>
    <col min="15617" max="15617" width="15.85546875" style="172" customWidth="1"/>
    <col min="15618" max="15618" width="60.7109375" style="172" customWidth="1"/>
    <col min="15619" max="15619" width="17" style="172" customWidth="1"/>
    <col min="15620" max="15620" width="9.140625" style="172"/>
    <col min="15621" max="15621" width="10.5703125" style="172" bestFit="1" customWidth="1"/>
    <col min="15622" max="15872" width="9.140625" style="172"/>
    <col min="15873" max="15873" width="15.85546875" style="172" customWidth="1"/>
    <col min="15874" max="15874" width="60.7109375" style="172" customWidth="1"/>
    <col min="15875" max="15875" width="17" style="172" customWidth="1"/>
    <col min="15876" max="15876" width="9.140625" style="172"/>
    <col min="15877" max="15877" width="10.5703125" style="172" bestFit="1" customWidth="1"/>
    <col min="15878" max="16128" width="9.140625" style="172"/>
    <col min="16129" max="16129" width="15.85546875" style="172" customWidth="1"/>
    <col min="16130" max="16130" width="60.7109375" style="172" customWidth="1"/>
    <col min="16131" max="16131" width="17" style="172" customWidth="1"/>
    <col min="16132" max="16132" width="9.140625" style="172"/>
    <col min="16133" max="16133" width="10.5703125" style="172" bestFit="1" customWidth="1"/>
    <col min="16134" max="16384" width="9.140625" style="172"/>
  </cols>
  <sheetData>
    <row r="1" spans="1:5" ht="18.75">
      <c r="A1" s="1122" t="s">
        <v>1024</v>
      </c>
      <c r="B1" s="1122"/>
      <c r="C1" s="1122"/>
      <c r="D1" s="1122"/>
      <c r="E1" s="738"/>
    </row>
    <row r="2" spans="1:5">
      <c r="A2" s="1123" t="s">
        <v>1025</v>
      </c>
      <c r="B2" s="1123"/>
      <c r="C2" s="1123"/>
      <c r="D2" s="1123"/>
      <c r="E2" s="739"/>
    </row>
    <row r="3" spans="1:5" ht="21">
      <c r="A3" s="740" t="s">
        <v>1026</v>
      </c>
      <c r="B3" s="776" t="str">
        <f>'F1'!D5</f>
        <v>Nama Perguruan Tinggi</v>
      </c>
      <c r="C3" s="776"/>
      <c r="E3" s="741"/>
    </row>
    <row r="4" spans="1:5" ht="15.75">
      <c r="A4" s="740" t="s">
        <v>883</v>
      </c>
      <c r="B4" s="776" t="str">
        <f>'F1'!D6</f>
        <v>Nama Asesor</v>
      </c>
      <c r="C4" s="776"/>
    </row>
    <row r="5" spans="1:5" ht="15.75">
      <c r="A5" s="740" t="s">
        <v>1027</v>
      </c>
      <c r="B5" s="776" t="str">
        <f>'F1'!D7</f>
        <v>P019</v>
      </c>
      <c r="C5" s="776"/>
    </row>
    <row r="6" spans="1:5" ht="15.75">
      <c r="A6" s="740" t="s">
        <v>1028</v>
      </c>
      <c r="B6" s="776" t="str">
        <f>'F1'!D8</f>
        <v>16-18 April 2015</v>
      </c>
      <c r="C6" s="776"/>
    </row>
    <row r="7" spans="1:5" ht="19.5" thickBot="1">
      <c r="B7" s="1121" t="s">
        <v>1062</v>
      </c>
      <c r="C7" s="1121"/>
      <c r="D7" s="742"/>
      <c r="E7" s="742"/>
    </row>
    <row r="8" spans="1:5">
      <c r="A8" s="1115" t="s">
        <v>1029</v>
      </c>
      <c r="B8" s="1117" t="s">
        <v>42</v>
      </c>
      <c r="C8" s="1119" t="s">
        <v>1030</v>
      </c>
      <c r="D8" s="743"/>
      <c r="E8" s="1109"/>
    </row>
    <row r="9" spans="1:5" ht="15.75" thickBot="1">
      <c r="A9" s="1116"/>
      <c r="B9" s="1118"/>
      <c r="C9" s="1120"/>
      <c r="D9" s="744"/>
      <c r="E9" s="1109"/>
    </row>
    <row r="10" spans="1:5" ht="15.75" thickTop="1">
      <c r="A10" s="745" t="s">
        <v>1031</v>
      </c>
      <c r="B10" s="746" t="s">
        <v>1032</v>
      </c>
      <c r="C10" s="747">
        <f>'F1'!I12</f>
        <v>5.6833333333333336</v>
      </c>
      <c r="D10" s="748"/>
      <c r="E10" s="749"/>
    </row>
    <row r="11" spans="1:5" ht="5.0999999999999996" customHeight="1">
      <c r="A11" s="750"/>
      <c r="B11" s="751"/>
      <c r="C11" s="752"/>
      <c r="D11" s="748"/>
      <c r="E11" s="749"/>
    </row>
    <row r="12" spans="1:5" ht="16.5" customHeight="1">
      <c r="A12" s="750" t="s">
        <v>1033</v>
      </c>
      <c r="B12" s="746" t="s">
        <v>1034</v>
      </c>
      <c r="C12" s="753">
        <f>'F1'!I16</f>
        <v>85.442000000000007</v>
      </c>
      <c r="D12" s="748"/>
      <c r="E12" s="749"/>
    </row>
    <row r="13" spans="1:5" ht="5.0999999999999996" customHeight="1">
      <c r="A13" s="750"/>
      <c r="B13" s="746" t="s">
        <v>1035</v>
      </c>
      <c r="C13" s="752"/>
      <c r="D13" s="748"/>
      <c r="E13" s="749"/>
    </row>
    <row r="14" spans="1:5">
      <c r="A14" s="750" t="s">
        <v>1036</v>
      </c>
      <c r="B14" s="746" t="s">
        <v>1037</v>
      </c>
      <c r="C14" s="753">
        <f>'F1'!I31</f>
        <v>37.531399999999998</v>
      </c>
      <c r="D14" s="748"/>
      <c r="E14" s="749"/>
    </row>
    <row r="15" spans="1:5" ht="5.0999999999999996" customHeight="1">
      <c r="A15" s="750"/>
      <c r="B15" s="746" t="s">
        <v>1035</v>
      </c>
      <c r="C15" s="752"/>
      <c r="D15" s="748"/>
      <c r="E15" s="749"/>
    </row>
    <row r="16" spans="1:5">
      <c r="A16" s="750" t="s">
        <v>1038</v>
      </c>
      <c r="B16" s="746" t="s">
        <v>1039</v>
      </c>
      <c r="C16" s="753">
        <f>'F1'!I52</f>
        <v>53.05771428571429</v>
      </c>
      <c r="D16" s="748"/>
      <c r="E16" s="749"/>
    </row>
    <row r="17" spans="1:5" ht="5.0999999999999996" customHeight="1">
      <c r="A17" s="750"/>
      <c r="B17" s="746" t="s">
        <v>1035</v>
      </c>
      <c r="C17" s="752"/>
      <c r="D17" s="748"/>
      <c r="E17" s="749"/>
    </row>
    <row r="18" spans="1:5" ht="15" customHeight="1">
      <c r="A18" s="750" t="s">
        <v>1040</v>
      </c>
      <c r="B18" s="746" t="s">
        <v>1041</v>
      </c>
      <c r="C18" s="753">
        <f>'F1'!I68</f>
        <v>24.253</v>
      </c>
      <c r="D18" s="748"/>
      <c r="E18" s="749"/>
    </row>
    <row r="19" spans="1:5" ht="5.0999999999999996" customHeight="1">
      <c r="A19" s="750"/>
      <c r="B19" s="746" t="s">
        <v>1035</v>
      </c>
      <c r="C19" s="752"/>
      <c r="D19" s="748"/>
      <c r="E19" s="749"/>
    </row>
    <row r="20" spans="1:5">
      <c r="A20" s="750" t="s">
        <v>1042</v>
      </c>
      <c r="B20" s="746" t="s">
        <v>1043</v>
      </c>
      <c r="C20" s="753">
        <f>'F1'!I75</f>
        <v>61.49960256410256</v>
      </c>
      <c r="D20" s="748"/>
      <c r="E20" s="749"/>
    </row>
    <row r="21" spans="1:5" ht="5.0999999999999996" customHeight="1">
      <c r="A21" s="750"/>
      <c r="B21" s="746" t="s">
        <v>1035</v>
      </c>
      <c r="C21" s="752"/>
      <c r="D21" s="748"/>
      <c r="E21" s="749"/>
    </row>
    <row r="22" spans="1:5">
      <c r="A22" s="750" t="s">
        <v>1044</v>
      </c>
      <c r="B22" s="746" t="s">
        <v>1045</v>
      </c>
      <c r="C22" s="753">
        <f>'F1'!I99</f>
        <v>35.784509803921566</v>
      </c>
      <c r="D22" s="748"/>
      <c r="E22" s="749"/>
    </row>
    <row r="23" spans="1:5" ht="16.5" thickBot="1">
      <c r="A23" s="754"/>
      <c r="B23" s="755" t="s">
        <v>1046</v>
      </c>
      <c r="C23" s="756">
        <f>SUM(C10:C22)</f>
        <v>303.25155998707169</v>
      </c>
      <c r="D23" s="748"/>
      <c r="E23" s="749"/>
    </row>
    <row r="25" spans="1:5" ht="19.5" thickBot="1">
      <c r="B25" s="1121" t="s">
        <v>1047</v>
      </c>
      <c r="C25" s="1121"/>
      <c r="D25" s="742"/>
      <c r="E25" s="742"/>
    </row>
    <row r="26" spans="1:5">
      <c r="A26" s="1115" t="s">
        <v>1029</v>
      </c>
      <c r="B26" s="1117" t="s">
        <v>42</v>
      </c>
      <c r="C26" s="1119" t="s">
        <v>1030</v>
      </c>
      <c r="D26" s="743"/>
      <c r="E26" s="1109"/>
    </row>
    <row r="27" spans="1:5" ht="15.75" thickBot="1">
      <c r="A27" s="1116"/>
      <c r="B27" s="1118"/>
      <c r="C27" s="1120"/>
      <c r="D27" s="744"/>
      <c r="E27" s="1109"/>
    </row>
    <row r="28" spans="1:5" ht="24.75" thickTop="1">
      <c r="A28" s="757">
        <v>1</v>
      </c>
      <c r="B28" s="746" t="s">
        <v>1048</v>
      </c>
      <c r="C28" s="747">
        <f>'F2'!H10</f>
        <v>90.625</v>
      </c>
      <c r="D28" s="748"/>
      <c r="E28" s="749"/>
    </row>
    <row r="29" spans="1:5" ht="5.0999999999999996" customHeight="1">
      <c r="A29" s="758"/>
      <c r="B29" s="746" t="s">
        <v>1035</v>
      </c>
      <c r="C29" s="752"/>
      <c r="D29" s="748"/>
      <c r="E29" s="749"/>
    </row>
    <row r="30" spans="1:5" ht="24">
      <c r="A30" s="759">
        <v>2</v>
      </c>
      <c r="B30" s="746" t="s">
        <v>1049</v>
      </c>
      <c r="C30" s="753">
        <f>'F2'!H13</f>
        <v>90</v>
      </c>
      <c r="D30" s="748"/>
      <c r="E30" s="749"/>
    </row>
    <row r="31" spans="1:5" ht="5.0999999999999996" customHeight="1">
      <c r="A31" s="758"/>
      <c r="B31" s="746" t="s">
        <v>1035</v>
      </c>
      <c r="C31" s="752"/>
      <c r="D31" s="748"/>
      <c r="E31" s="749"/>
    </row>
    <row r="32" spans="1:5">
      <c r="A32" s="759">
        <v>3</v>
      </c>
      <c r="B32" s="746" t="s">
        <v>1050</v>
      </c>
      <c r="C32" s="753">
        <f>'F2'!H18</f>
        <v>55</v>
      </c>
      <c r="D32" s="748"/>
      <c r="E32" s="749"/>
    </row>
    <row r="33" spans="1:5" ht="5.0999999999999996" customHeight="1">
      <c r="A33" s="758"/>
      <c r="B33" s="746" t="s">
        <v>1035</v>
      </c>
      <c r="C33" s="752"/>
      <c r="D33" s="748"/>
      <c r="E33" s="749"/>
    </row>
    <row r="34" spans="1:5">
      <c r="A34" s="759">
        <v>4</v>
      </c>
      <c r="B34" s="746" t="s">
        <v>1051</v>
      </c>
      <c r="C34" s="753">
        <f>'F2'!H22</f>
        <v>75</v>
      </c>
      <c r="D34" s="748"/>
      <c r="E34" s="749"/>
    </row>
    <row r="35" spans="1:5" ht="16.5" thickBot="1">
      <c r="A35" s="754"/>
      <c r="B35" s="760" t="s">
        <v>1052</v>
      </c>
      <c r="C35" s="756">
        <f>SUM(C28:C34)</f>
        <v>310.625</v>
      </c>
      <c r="D35" s="748"/>
      <c r="E35" s="749"/>
    </row>
    <row r="37" spans="1:5" ht="10.5" customHeight="1" thickBot="1"/>
    <row r="38" spans="1:5">
      <c r="B38" s="761"/>
      <c r="C38" s="1110" t="s">
        <v>1053</v>
      </c>
      <c r="D38" s="762"/>
      <c r="E38" s="1112"/>
    </row>
    <row r="39" spans="1:5" ht="17.25" customHeight="1">
      <c r="A39" s="763" t="s">
        <v>883</v>
      </c>
      <c r="B39" s="764" t="str">
        <f>[1]F1!D9</f>
        <v>Dr. Asesor</v>
      </c>
      <c r="C39" s="1111"/>
      <c r="D39" s="765"/>
      <c r="E39" s="1112"/>
    </row>
    <row r="40" spans="1:5" ht="21" customHeight="1" thickBot="1">
      <c r="A40" s="763" t="s">
        <v>1054</v>
      </c>
      <c r="B40" s="766" t="s">
        <v>69</v>
      </c>
      <c r="C40" s="767">
        <f>0.9*C23+0.1*C35</f>
        <v>303.98890398836454</v>
      </c>
      <c r="D40" s="768"/>
      <c r="E40" s="749"/>
    </row>
    <row r="41" spans="1:5" ht="11.25" customHeight="1">
      <c r="A41" s="763"/>
      <c r="B41" s="769"/>
      <c r="C41" s="770"/>
      <c r="D41" s="770"/>
      <c r="E41" s="749"/>
    </row>
    <row r="42" spans="1:5" ht="14.25" customHeight="1">
      <c r="A42" s="763" t="s">
        <v>1055</v>
      </c>
      <c r="B42" s="769"/>
      <c r="C42" s="769"/>
      <c r="D42" s="771"/>
    </row>
    <row r="43" spans="1:5" ht="15" customHeight="1">
      <c r="A43" s="763"/>
      <c r="B43" s="769"/>
      <c r="C43" s="1113" t="str">
        <f>'F1'!D114</f>
        <v>Jakarta, 16 - 18 April 2015</v>
      </c>
      <c r="D43" s="1114"/>
      <c r="E43" s="772"/>
    </row>
    <row r="44" spans="1:5" ht="15.75">
      <c r="A44" s="773"/>
      <c r="B44" s="774" t="s">
        <v>1056</v>
      </c>
      <c r="C44" s="774" t="s">
        <v>1057</v>
      </c>
      <c r="D44" s="774"/>
      <c r="E44" s="774"/>
    </row>
    <row r="45" spans="1:5" ht="16.5" customHeight="1">
      <c r="A45" s="773"/>
      <c r="B45" s="775" t="s">
        <v>1058</v>
      </c>
      <c r="C45" s="774" t="s">
        <v>1059</v>
      </c>
      <c r="D45" s="774"/>
      <c r="E45" s="774"/>
    </row>
    <row r="46" spans="1:5" ht="15.75">
      <c r="A46" s="773"/>
      <c r="D46" s="774"/>
      <c r="E46" s="774"/>
    </row>
    <row r="47" spans="1:5" ht="18.75">
      <c r="B47" s="775" t="s">
        <v>1060</v>
      </c>
      <c r="D47" s="774"/>
      <c r="E47" s="774"/>
    </row>
    <row r="48" spans="1:5">
      <c r="C48" s="774"/>
    </row>
    <row r="49" spans="3:3">
      <c r="C49" s="774"/>
    </row>
    <row r="50" spans="3:3" ht="4.5" customHeight="1"/>
    <row r="51" spans="3:3">
      <c r="C51" s="774"/>
    </row>
  </sheetData>
  <sheetProtection sheet="1" objects="1" scenarios="1" formatColumns="0" formatRows="0" selectLockedCells="1"/>
  <mergeCells count="15">
    <mergeCell ref="A1:D1"/>
    <mergeCell ref="A2:D2"/>
    <mergeCell ref="B7:C7"/>
    <mergeCell ref="A8:A9"/>
    <mergeCell ref="B8:B9"/>
    <mergeCell ref="C8:C9"/>
    <mergeCell ref="E8:E9"/>
    <mergeCell ref="C38:C39"/>
    <mergeCell ref="E38:E39"/>
    <mergeCell ref="C43:D43"/>
    <mergeCell ref="A26:A27"/>
    <mergeCell ref="B26:B27"/>
    <mergeCell ref="C26:C27"/>
    <mergeCell ref="E26:E27"/>
    <mergeCell ref="B25:C25"/>
  </mergeCells>
  <pageMargins left="0.81" right="0.70866141732283505" top="0.25" bottom="0.15748031496063" header="0.2" footer="0.31496062992126"/>
  <pageSetup paperSize="9" scale="80" orientation="portrait" r:id="rId1"/>
  <drawing r:id="rId2"/>
</worksheet>
</file>

<file path=xl/worksheets/sheet2.xml><?xml version="1.0" encoding="utf-8"?>
<worksheet xmlns="http://schemas.openxmlformats.org/spreadsheetml/2006/main" xmlns:r="http://schemas.openxmlformats.org/officeDocument/2006/relationships">
  <sheetPr codeName="Sheet1"/>
  <dimension ref="A1:I164"/>
  <sheetViews>
    <sheetView topLeftCell="A109" zoomScale="110" zoomScaleNormal="110" workbookViewId="0">
      <selection activeCell="D9" sqref="D9"/>
    </sheetView>
  </sheetViews>
  <sheetFormatPr defaultRowHeight="15"/>
  <cols>
    <col min="1" max="1" width="4.42578125" style="3" customWidth="1"/>
    <col min="2" max="2" width="7.42578125" style="3" customWidth="1"/>
    <col min="3" max="3" width="29.28515625" style="6" customWidth="1"/>
    <col min="4" max="4" width="35.5703125" style="6" customWidth="1"/>
    <col min="5" max="5" width="7.28515625" style="7" hidden="1" customWidth="1"/>
    <col min="6" max="6" width="7.7109375" style="7" customWidth="1"/>
    <col min="8" max="8" width="12.28515625" customWidth="1"/>
  </cols>
  <sheetData>
    <row r="1" spans="1:9" ht="21" customHeight="1">
      <c r="A1" s="785" t="s">
        <v>574</v>
      </c>
      <c r="B1" s="785"/>
      <c r="C1" s="785"/>
      <c r="D1" s="785"/>
      <c r="E1" s="785"/>
      <c r="F1" s="785"/>
      <c r="G1" s="61"/>
      <c r="H1" s="61"/>
    </row>
    <row r="2" spans="1:9" ht="21">
      <c r="A2" s="62"/>
      <c r="B2" s="57"/>
      <c r="C2" s="680"/>
      <c r="D2" s="680"/>
      <c r="E2" s="60"/>
      <c r="F2" s="60"/>
      <c r="G2" s="61"/>
      <c r="H2" s="61"/>
    </row>
    <row r="3" spans="1:9" ht="15.75">
      <c r="A3" s="786" t="s">
        <v>66</v>
      </c>
      <c r="B3" s="786"/>
      <c r="C3" s="786"/>
      <c r="D3" s="786"/>
      <c r="E3" s="786"/>
      <c r="F3" s="786"/>
      <c r="G3" s="61"/>
      <c r="H3" s="61"/>
    </row>
    <row r="4" spans="1:9" ht="15.75">
      <c r="A4" s="195"/>
      <c r="B4" s="52"/>
      <c r="C4" s="55"/>
      <c r="D4" s="681"/>
      <c r="E4" s="66"/>
      <c r="F4" s="66"/>
      <c r="G4" s="61"/>
      <c r="H4" s="61"/>
    </row>
    <row r="5" spans="1:9" ht="18" customHeight="1">
      <c r="A5" s="789" t="s">
        <v>879</v>
      </c>
      <c r="B5" s="789"/>
      <c r="C5" s="789"/>
      <c r="D5" s="787" t="s">
        <v>882</v>
      </c>
      <c r="E5" s="787"/>
      <c r="F5" s="787"/>
      <c r="G5" s="121"/>
      <c r="H5" s="121"/>
    </row>
    <row r="6" spans="1:9" ht="15" customHeight="1">
      <c r="A6" s="789" t="s">
        <v>880</v>
      </c>
      <c r="B6" s="789"/>
      <c r="C6" s="789"/>
      <c r="D6" s="787" t="s">
        <v>883</v>
      </c>
      <c r="E6" s="787"/>
      <c r="F6" s="787"/>
      <c r="G6" s="121"/>
      <c r="H6" s="121"/>
    </row>
    <row r="7" spans="1:9" ht="15" customHeight="1">
      <c r="A7" s="789" t="s">
        <v>884</v>
      </c>
      <c r="B7" s="789"/>
      <c r="C7" s="789"/>
      <c r="D7" s="682" t="s">
        <v>886</v>
      </c>
      <c r="E7" s="654"/>
      <c r="F7" s="654"/>
      <c r="G7" s="61"/>
      <c r="H7" s="61"/>
    </row>
    <row r="8" spans="1:9" ht="15" customHeight="1">
      <c r="A8" s="789" t="s">
        <v>40</v>
      </c>
      <c r="B8" s="789"/>
      <c r="C8" s="789"/>
      <c r="D8" s="679" t="s">
        <v>1063</v>
      </c>
      <c r="E8" s="654"/>
      <c r="F8" s="654"/>
      <c r="G8" s="61"/>
      <c r="H8" s="61"/>
    </row>
    <row r="9" spans="1:9" ht="15.75">
      <c r="A9" s="67"/>
      <c r="B9" s="64"/>
      <c r="C9" s="681"/>
      <c r="D9" s="681"/>
      <c r="E9" s="66"/>
      <c r="F9" s="66"/>
      <c r="G9" s="61"/>
      <c r="H9" s="61"/>
    </row>
    <row r="10" spans="1:9" ht="6" customHeight="1" thickBot="1">
      <c r="A10" s="64"/>
      <c r="B10" s="64"/>
      <c r="C10" s="681"/>
      <c r="D10" s="681"/>
      <c r="E10" s="66"/>
      <c r="F10" s="66"/>
      <c r="G10" s="61"/>
      <c r="H10" s="61"/>
    </row>
    <row r="11" spans="1:9" ht="42" customHeight="1" thickBot="1">
      <c r="A11" s="183" t="s">
        <v>41</v>
      </c>
      <c r="B11" s="124" t="s">
        <v>890</v>
      </c>
      <c r="C11" s="124" t="s">
        <v>42</v>
      </c>
      <c r="D11" s="124" t="s">
        <v>43</v>
      </c>
      <c r="E11" s="124" t="s">
        <v>44</v>
      </c>
      <c r="F11" s="184" t="s">
        <v>90</v>
      </c>
      <c r="G11" s="50"/>
      <c r="H11" s="71" t="s">
        <v>98</v>
      </c>
    </row>
    <row r="12" spans="1:9" ht="63.75">
      <c r="A12" s="185">
        <v>1</v>
      </c>
      <c r="B12" s="439">
        <v>1.1000000000000001</v>
      </c>
      <c r="C12" s="196" t="str">
        <f>hitung_F1!C4</f>
        <v>Kejelasan,  kerealistikan, dan keterkaitan antara visi, misi, tujuan,  sasaran perguruan tinggi, dan pemangku kepentingan yang terlibat.</v>
      </c>
      <c r="D12" s="186" t="str">
        <f>hitung_F1!G4</f>
        <v>Visi, misi jelas …</v>
      </c>
      <c r="E12" s="500">
        <v>0.88</v>
      </c>
      <c r="F12" s="187">
        <f>hitung_F1!E10</f>
        <v>2.375</v>
      </c>
      <c r="G12" s="50"/>
      <c r="H12" s="72">
        <f>E12*F12</f>
        <v>2.09</v>
      </c>
      <c r="I12" s="737">
        <f>SUM(H12:H15)</f>
        <v>5.6833333333333336</v>
      </c>
    </row>
    <row r="13" spans="1:9" ht="76.5">
      <c r="A13" s="188">
        <f>A12+1</f>
        <v>2</v>
      </c>
      <c r="B13" s="440">
        <v>1.2</v>
      </c>
      <c r="C13" s="190" t="str">
        <f>hitung_F1!C12</f>
        <v>Perguruan tinggi menetapkan tonggak-tonggak capaian (milestones) tujuan sebagai penjabaran atau pelaksanaan renstra, serta mekanisme kontrol ketercapaiannya</v>
      </c>
      <c r="D13" s="191" t="str">
        <f>hitung_F1!G12</f>
        <v>dsfsd</v>
      </c>
      <c r="E13" s="500">
        <v>0.44</v>
      </c>
      <c r="F13" s="192">
        <f>hitung_F1!E17</f>
        <v>1.1666666666666667</v>
      </c>
      <c r="G13" s="50"/>
      <c r="H13" s="72">
        <f t="shared" ref="H13:H76" si="0">E13*F13</f>
        <v>0.51333333333333342</v>
      </c>
    </row>
    <row r="14" spans="1:9" ht="63.75">
      <c r="A14" s="188">
        <f t="shared" ref="A14:A77" si="1">A13+1</f>
        <v>3</v>
      </c>
      <c r="B14" s="77" t="s">
        <v>150</v>
      </c>
      <c r="C14" s="191" t="str">
        <f>hitung_F1!C19</f>
        <v>Sosialisasi visi dan misi  perguruan tinggi dilaksanakan secara sistematis dan berkelanjutan kepada pemangku kepentingan</v>
      </c>
      <c r="D14" s="191" t="str">
        <f>hitung_F1!G19</f>
        <v>sfd</v>
      </c>
      <c r="E14" s="500">
        <v>0.44</v>
      </c>
      <c r="F14" s="192">
        <f>hitung_F1!E24</f>
        <v>2</v>
      </c>
      <c r="G14" s="50"/>
      <c r="H14" s="72">
        <f t="shared" si="0"/>
        <v>0.88</v>
      </c>
    </row>
    <row r="15" spans="1:9" ht="127.5">
      <c r="A15" s="188">
        <f t="shared" si="1"/>
        <v>4</v>
      </c>
      <c r="B15" s="77" t="s">
        <v>151</v>
      </c>
      <c r="C15" s="191" t="str">
        <f>hitung_F1!C26</f>
        <v>Visi dan misi perguruan tinggi dijadikan pedoman, panduan, dan rambu-rambu bagi semua pemangku kepentingan internal serta dijadikan acuan pelaksanaan renstra, keterwujudan visi, keterlaksanaan misi, ketercapaian tujuan melalui strategi-strategi yang dikembangkan.</v>
      </c>
      <c r="D15" s="191" t="str">
        <f>hitung_F1!G26</f>
        <v>sdfd</v>
      </c>
      <c r="E15" s="500">
        <v>0.88</v>
      </c>
      <c r="F15" s="192">
        <f>hitung_F1!E31</f>
        <v>2.5</v>
      </c>
      <c r="G15" s="50"/>
      <c r="H15" s="72">
        <f t="shared" si="0"/>
        <v>2.2000000000000002</v>
      </c>
    </row>
    <row r="16" spans="1:9" ht="178.5">
      <c r="A16" s="188">
        <f t="shared" si="1"/>
        <v>5</v>
      </c>
      <c r="B16" s="77" t="s">
        <v>29</v>
      </c>
      <c r="C16" s="191" t="str">
        <f>hitung_F1!C33</f>
        <v>Perguruan tinggi memiliki  tata pamong yang memungkinkan terlaksananya secara konsisten prinsip-prinsip tata pamong, terutama yang terkait dengan pelaku tata pamong (aktor)  dan sistem ketatapamongan yang baik (kelembagaan, instrumen, perangkat pendukung, kebijakan dan peraturan, serta kode etik) dengan pemenuhan lima pilar: (1) kredibel, (2) transparan, (3) akuntabel, (4) bertanggung jawab, dan (5) adil</v>
      </c>
      <c r="D16" s="191" t="str">
        <f>hitung_F1!G33</f>
        <v>dsfs</v>
      </c>
      <c r="E16" s="500">
        <v>1.48</v>
      </c>
      <c r="F16" s="192">
        <f>hitung_F1!E39</f>
        <v>0</v>
      </c>
      <c r="G16" s="50"/>
      <c r="H16" s="72">
        <f t="shared" si="0"/>
        <v>0</v>
      </c>
      <c r="I16" s="737">
        <f>SUM(H16:H30)</f>
        <v>85.442000000000007</v>
      </c>
    </row>
    <row r="17" spans="1:9" ht="242.25">
      <c r="A17" s="188">
        <f t="shared" si="1"/>
        <v>6</v>
      </c>
      <c r="B17" s="77" t="s">
        <v>30</v>
      </c>
      <c r="C17" s="189" t="str">
        <f>hitung_F1!C41</f>
        <v xml:space="preserve">Kelengkapan dan keefektifan struktur organisasi yang disesuaikan  dengan kebutuhan penyelenggaraan dan pengembangan perguruan tinggi yang bermutu. Organ dalam struktur organisasi: (1) pimpinan institusi,
(2) senat perguruan tinggi/senat akademik, (3) satuan pengawasan,
(4) dewan pertimbangan, (5) pelaksana kegiatan akademik,
(6) pelaksana administrasi, pelayanan dan pendukung, (7) pelaksana penjaminan mutu, dan (8) unit perencana dan pengembangan tridarma
</v>
      </c>
      <c r="D17" s="191" t="str">
        <f>hitung_F1!G41</f>
        <v>ghgj</v>
      </c>
      <c r="E17" s="500">
        <v>1.48</v>
      </c>
      <c r="F17" s="192">
        <f>hitung_F1!E46</f>
        <v>3</v>
      </c>
      <c r="G17" s="50"/>
      <c r="H17" s="72">
        <f t="shared" si="0"/>
        <v>4.4399999999999995</v>
      </c>
    </row>
    <row r="18" spans="1:9" ht="38.25">
      <c r="A18" s="188">
        <f t="shared" si="1"/>
        <v>7</v>
      </c>
      <c r="B18" s="193" t="s">
        <v>195</v>
      </c>
      <c r="C18" s="191" t="str">
        <f>hitung_F1!C48</f>
        <v>Keberadaan lembaga, mutu, SOP, dan efektifitas pelaksanaan kode etik.</v>
      </c>
      <c r="D18" s="191" t="str">
        <f>hitung_F1!G48</f>
        <v>sdf</v>
      </c>
      <c r="E18" s="500">
        <v>0.74</v>
      </c>
      <c r="F18" s="192">
        <f>hitung_F1!E54</f>
        <v>1</v>
      </c>
      <c r="G18" s="50"/>
      <c r="H18" s="72">
        <f t="shared" si="0"/>
        <v>0.74</v>
      </c>
    </row>
    <row r="19" spans="1:9" ht="63.75">
      <c r="A19" s="188">
        <f t="shared" si="1"/>
        <v>8</v>
      </c>
      <c r="B19" s="193">
        <v>2.2000000000000002</v>
      </c>
      <c r="C19" s="191" t="str">
        <f>hitung_F1!C56</f>
        <v>Kepemimpinan yang efektif tiga karakteristik: (1) kepemimpinan operasional, (2) kepemimpinan organisasi, dan (3) kepemimpinan publik</v>
      </c>
      <c r="D19" s="191" t="str">
        <f>hitung_F1!G56</f>
        <v>sd</v>
      </c>
      <c r="E19" s="500">
        <v>1.48</v>
      </c>
      <c r="F19" s="192">
        <f>hitung_F1!E61</f>
        <v>2.75</v>
      </c>
      <c r="G19" s="50"/>
      <c r="H19" s="72">
        <f t="shared" si="0"/>
        <v>4.07</v>
      </c>
    </row>
    <row r="20" spans="1:9" ht="114.75">
      <c r="A20" s="188">
        <f t="shared" si="1"/>
        <v>9</v>
      </c>
      <c r="B20" s="193" t="s">
        <v>203</v>
      </c>
      <c r="C20" s="285" t="str">
        <f>hitung_F1!C63</f>
        <v>Sistem pengelolaan fungsional dan operasional perguruan tinggi mencakup lima fungsi pengelolaan (planning,  organizing,  staffing, leading, dan controlling), yang dilaksanakan secara efektif untuk mewujudkan visi dan melaksanakan misi perguruan tinggi.</v>
      </c>
      <c r="D20" s="191" t="str">
        <f>hitung_F1!G63</f>
        <v>sdf</v>
      </c>
      <c r="E20" s="501">
        <v>0.74</v>
      </c>
      <c r="F20" s="192">
        <f>hitung_F1!E68</f>
        <v>3.25</v>
      </c>
      <c r="G20" s="50"/>
      <c r="H20" s="72">
        <f t="shared" si="0"/>
        <v>2.4049999999999998</v>
      </c>
    </row>
    <row r="21" spans="1:9" ht="89.25">
      <c r="A21" s="188">
        <f t="shared" si="1"/>
        <v>10</v>
      </c>
      <c r="B21" s="189" t="s">
        <v>210</v>
      </c>
      <c r="C21" s="189" t="str">
        <f>hitung_F1!C70</f>
        <v>Perguruan tinggi memiliki analisis jabatan, deskripsi tugas, program peningkatan kompetensi manajerial yang menjamin terjadinya proses pengelolaan yang efektif dan efisien di setiap unit kerja.</v>
      </c>
      <c r="D21" s="191">
        <f>hitung_F1!G70</f>
        <v>0</v>
      </c>
      <c r="E21" s="500">
        <v>0.74</v>
      </c>
      <c r="F21" s="194">
        <f>hitung_F1!E75</f>
        <v>1.5</v>
      </c>
      <c r="G21" s="50"/>
      <c r="H21" s="72">
        <f t="shared" si="0"/>
        <v>1.1099999999999999</v>
      </c>
    </row>
    <row r="22" spans="1:9" ht="38.25">
      <c r="A22" s="188">
        <f t="shared" si="1"/>
        <v>11</v>
      </c>
      <c r="B22" s="189" t="s">
        <v>212</v>
      </c>
      <c r="C22" s="189" t="str">
        <f>hitung_F1!C77</f>
        <v>Diseminasi hasil kerja perguruan tinggi sebagai akuntabilitas publik, serta keberkalaannya.</v>
      </c>
      <c r="D22" s="191" t="str">
        <f>hitung_F1!G77</f>
        <v>sdf</v>
      </c>
      <c r="E22" s="500">
        <v>0.74</v>
      </c>
      <c r="F22" s="194">
        <f>hitung_F1!E82</f>
        <v>2.75</v>
      </c>
      <c r="G22" s="50"/>
      <c r="H22" s="72">
        <f t="shared" si="0"/>
        <v>2.0350000000000001</v>
      </c>
    </row>
    <row r="23" spans="1:9" ht="89.25">
      <c r="A23" s="188">
        <f t="shared" si="1"/>
        <v>12</v>
      </c>
      <c r="B23" s="189" t="s">
        <v>215</v>
      </c>
      <c r="C23" s="189" t="str">
        <f>hitung_F1!C84</f>
        <v>Keberadaan dan keefektifan sistem audit internal, dilengkapi dengan kriteria dan instrumen penilaian serta menggunakannya untuk mengukur kinerja setiap unit kerja, serta diseminasi hasilnya.</v>
      </c>
      <c r="D23" s="191" t="str">
        <f>hitung_F1!G84</f>
        <v>sdf</v>
      </c>
      <c r="E23" s="500">
        <v>0.74</v>
      </c>
      <c r="F23" s="194">
        <f>hitung_F1!E89</f>
        <v>2.75</v>
      </c>
      <c r="G23" s="50"/>
      <c r="H23" s="72">
        <f t="shared" si="0"/>
        <v>2.0350000000000001</v>
      </c>
    </row>
    <row r="24" spans="1:9" ht="76.5">
      <c r="A24" s="188">
        <f t="shared" si="1"/>
        <v>13</v>
      </c>
      <c r="B24" s="189" t="s">
        <v>219</v>
      </c>
      <c r="C24" s="189" t="str">
        <f>hitung_F1!C91</f>
        <v>Keberadaan dan keefektifan sistem audit eksternal, dilengkapi dengan kriteria dan instrumen penilaian serta menggunakannya untuk mengukur kinerja perguruan tinggi.</v>
      </c>
      <c r="D24" s="191">
        <f>hitung_F1!G91</f>
        <v>0</v>
      </c>
      <c r="E24" s="500">
        <v>0.74</v>
      </c>
      <c r="F24" s="194">
        <f>hitung_F1!E96</f>
        <v>3</v>
      </c>
      <c r="G24" s="50"/>
      <c r="H24" s="72">
        <f t="shared" si="0"/>
        <v>2.2199999999999998</v>
      </c>
    </row>
    <row r="25" spans="1:9" ht="63.75">
      <c r="A25" s="188">
        <f t="shared" si="1"/>
        <v>14</v>
      </c>
      <c r="B25" s="189" t="s">
        <v>31</v>
      </c>
      <c r="C25" s="189" t="str">
        <f>hitung_F1!C98</f>
        <v>Perguruan tinggi menjalankan sistem penjaminan mutu yang didukung dengan adanya bukti-bukti  berupa manual mutu, dan pelaksanaannya.</v>
      </c>
      <c r="D25" s="191">
        <f>hitung_F1!G98</f>
        <v>0</v>
      </c>
      <c r="E25" s="500">
        <v>0.74</v>
      </c>
      <c r="F25" s="194">
        <f>hitung_F1!E103</f>
        <v>2.5</v>
      </c>
      <c r="G25" s="50"/>
      <c r="H25" s="72">
        <f t="shared" si="0"/>
        <v>1.85</v>
      </c>
    </row>
    <row r="26" spans="1:9">
      <c r="A26" s="188">
        <f t="shared" si="1"/>
        <v>15</v>
      </c>
      <c r="B26" s="189" t="s">
        <v>32</v>
      </c>
      <c r="C26" s="189" t="str">
        <f>hitung_F1!C105</f>
        <v>Implementasi penjaminan mutu.</v>
      </c>
      <c r="D26" s="191" t="str">
        <f>hitung_F1!G105</f>
        <v>aaa</v>
      </c>
      <c r="E26" s="500">
        <v>0.37</v>
      </c>
      <c r="F26" s="194">
        <f>hitung_F1!E110</f>
        <v>3.2</v>
      </c>
      <c r="G26" s="50"/>
      <c r="H26" s="72">
        <f t="shared" si="0"/>
        <v>1.1839999999999999</v>
      </c>
    </row>
    <row r="27" spans="1:9" ht="89.25">
      <c r="A27" s="188">
        <f t="shared" si="1"/>
        <v>16</v>
      </c>
      <c r="B27" s="189" t="s">
        <v>228</v>
      </c>
      <c r="C27" s="189" t="str">
        <f>hitung_F1!C112</f>
        <v>Monitoring dan evaluasi hasil penjaminan mutu di bidang pendidikan, penelitian, pelayanan/pengabdian kepada masyarakat, sarana prasarana, keuangan, manajemen, serta tindak lanjutnya.</v>
      </c>
      <c r="D27" s="191">
        <f>hitung_F1!G112</f>
        <v>0</v>
      </c>
      <c r="E27" s="500">
        <v>0.37</v>
      </c>
      <c r="F27" s="194">
        <f>hitung_F1!E118</f>
        <v>1.5</v>
      </c>
      <c r="G27" s="50"/>
      <c r="H27" s="72">
        <f t="shared" si="0"/>
        <v>0.55499999999999994</v>
      </c>
    </row>
    <row r="28" spans="1:9" ht="102">
      <c r="A28" s="188">
        <f t="shared" si="1"/>
        <v>17</v>
      </c>
      <c r="B28" s="189" t="s">
        <v>233</v>
      </c>
      <c r="C28" s="189" t="str">
        <f>hitung_F1!C120</f>
        <v xml:space="preserve">Perguruan tinggi memiliki sistem pembinaan program studi yang mencakup: (1) pengembangan program studi, (2)  penyusunan dokumen akreditasi dalam bentuk pelatihan, dana, dan informasi.
</v>
      </c>
      <c r="D28" s="191">
        <f>hitung_F1!G120</f>
        <v>0</v>
      </c>
      <c r="E28" s="500">
        <v>0.37</v>
      </c>
      <c r="F28" s="194">
        <f>hitung_F1!E126</f>
        <v>3</v>
      </c>
      <c r="G28" s="50"/>
      <c r="H28" s="72">
        <f t="shared" si="0"/>
        <v>1.1099999999999999</v>
      </c>
    </row>
    <row r="29" spans="1:9" ht="51">
      <c r="A29" s="188">
        <f t="shared" si="1"/>
        <v>18</v>
      </c>
      <c r="B29" s="189" t="s">
        <v>239</v>
      </c>
      <c r="C29" s="189" t="str">
        <f>hitung_F1!C128</f>
        <v>Kelengkapan dan aksesibilitas sistem basis data institusi yang mendukung penyusunan evaluasi diri institusi dan program studi.</v>
      </c>
      <c r="D29" s="191" t="str">
        <f>hitung_F1!G128</f>
        <v>sdf</v>
      </c>
      <c r="E29" s="500">
        <v>0.74</v>
      </c>
      <c r="F29" s="194">
        <f>hitung_F1!E134</f>
        <v>3.2</v>
      </c>
      <c r="G29" s="50"/>
      <c r="H29" s="72">
        <f t="shared" si="0"/>
        <v>2.3679999999999999</v>
      </c>
    </row>
    <row r="30" spans="1:9" ht="102">
      <c r="A30" s="188">
        <f t="shared" si="1"/>
        <v>19</v>
      </c>
      <c r="B30" s="189" t="s">
        <v>240</v>
      </c>
      <c r="C30" s="189" t="str">
        <f>hitung_F1!C136</f>
        <v>Status akreditasi BAN-PT untuk seluruh program studi dalam perguruan tinggi. (Catatan: Program studi yang dihitung adalah yang sudah memiliki izin operasional lebih dari dua tahun, dan sudah ada sistem akreditasi BAN-PT)</v>
      </c>
      <c r="D30" s="191" t="str">
        <f>hitung_F1!G136&amp;". "&amp;hitung_F1!G137</f>
        <v>Jumlah program studi dengan status akreditasi A = 3, B = 0, C = 0, kadaluwarsa = 0, dan belum terakreditasi = 0. tempat menambahkan komentar tambahan</v>
      </c>
      <c r="E30" s="500">
        <v>14.83</v>
      </c>
      <c r="F30" s="194">
        <f>hitung_F1!E144</f>
        <v>4</v>
      </c>
      <c r="G30" s="50"/>
      <c r="H30" s="72">
        <f t="shared" si="0"/>
        <v>59.32</v>
      </c>
    </row>
    <row r="31" spans="1:9" ht="76.5">
      <c r="A31" s="188">
        <f t="shared" si="1"/>
        <v>20</v>
      </c>
      <c r="B31" s="189" t="s">
        <v>257</v>
      </c>
      <c r="C31" s="189" t="str">
        <f>hitung_F1!C146</f>
        <v>Sistem penerimaan  mahasiswa baru memuat unsur-unsur : (1) kebijakan, (2) kriteria, (3) prosedur, (4) instrumen, (5) sistem pengambilan keputusan dan konsistensi pelaksanaannya.</v>
      </c>
      <c r="D31" s="191" t="str">
        <f>hitung_F1!G146</f>
        <v>ytj</v>
      </c>
      <c r="E31" s="500">
        <v>0.82</v>
      </c>
      <c r="F31" s="194">
        <f>hitung_F1!E151</f>
        <v>1</v>
      </c>
      <c r="G31" s="50"/>
      <c r="H31" s="72">
        <f t="shared" si="0"/>
        <v>0.82</v>
      </c>
      <c r="I31" s="737">
        <f>SUM(H31:H51)</f>
        <v>37.531399999999998</v>
      </c>
    </row>
    <row r="32" spans="1:9" ht="114.75">
      <c r="A32" s="188">
        <f t="shared" si="1"/>
        <v>21</v>
      </c>
      <c r="B32" s="189" t="s">
        <v>264</v>
      </c>
      <c r="C32" s="189" t="str">
        <f>hitung_F1!C153</f>
        <v xml:space="preserve">Sistem penerimaan mahasiswa baru yang  memberikan peluang dan menerima mahasiswa yang memiliki potensi akademik namun kurang mampu secara ekonomi dan/atau cacat fisik disertai bukti implementasi sistem tsb. berupa ketersediaan sarana dan prasarana penunjang </v>
      </c>
      <c r="D32" s="191" t="str">
        <f>hitung_F1!G153</f>
        <v>qw</v>
      </c>
      <c r="E32" s="500">
        <v>0.41</v>
      </c>
      <c r="F32" s="194">
        <f>hitung_F1!E158</f>
        <v>1</v>
      </c>
      <c r="G32" s="50"/>
      <c r="H32" s="72">
        <f t="shared" si="0"/>
        <v>0.41</v>
      </c>
    </row>
    <row r="33" spans="1:9" ht="38.25">
      <c r="A33" s="188">
        <f t="shared" si="1"/>
        <v>22</v>
      </c>
      <c r="B33" s="189" t="s">
        <v>271</v>
      </c>
      <c r="C33" s="189" t="str">
        <f>hitung_F1!C160</f>
        <v>Sistem penerimaan mahasiswa baru yang menerapkan prinsip-prinsip ekuitas.</v>
      </c>
      <c r="D33" s="191" t="str">
        <f>hitung_F1!G160</f>
        <v>ty</v>
      </c>
      <c r="E33" s="500">
        <v>0.41</v>
      </c>
      <c r="F33" s="194">
        <f>hitung_F1!E165</f>
        <v>1</v>
      </c>
      <c r="G33" s="50"/>
      <c r="H33" s="72">
        <f t="shared" si="0"/>
        <v>0.41</v>
      </c>
    </row>
    <row r="34" spans="1:9" ht="63.75">
      <c r="A34" s="188">
        <f t="shared" si="1"/>
        <v>23</v>
      </c>
      <c r="B34" s="189" t="s">
        <v>277</v>
      </c>
      <c r="C34" s="189" t="str">
        <f>hitung_F1!C167</f>
        <v xml:space="preserve">Sistem penerimaan mahasiswa baru menerapkan  prinsip pemerataan wilayah asal mahasiswa. 
</v>
      </c>
      <c r="D34" s="191" t="str">
        <f>hitung_F1!G167&amp;". "&amp;hitung_F1!G168</f>
        <v>Jumlah propinsi asal mahasiswa = 7. tyr</v>
      </c>
      <c r="E34" s="500">
        <v>0.41</v>
      </c>
      <c r="F34" s="194">
        <f>hitung_F1!E169</f>
        <v>4</v>
      </c>
      <c r="G34" s="50"/>
      <c r="H34" s="72">
        <f t="shared" si="0"/>
        <v>1.64</v>
      </c>
    </row>
    <row r="35" spans="1:9" ht="63.75">
      <c r="A35" s="188">
        <f t="shared" si="1"/>
        <v>24</v>
      </c>
      <c r="B35" s="189" t="s">
        <v>281</v>
      </c>
      <c r="C35" s="189" t="str">
        <f>hitung_F1!C171</f>
        <v>Rasio jumlah mahasiswa yang ikut seleksi terhadap jumlah mahasiswa yang lulus seleksi.</v>
      </c>
      <c r="D35" s="191" t="str">
        <f>hitung_F1!G171&amp;". "&amp;hitung_F1!G172</f>
        <v>Jumlah mahasiswa dari semua jenjang pendidikan yang ikut seleksi (Kolom 3) =16420, Jumlah mahasiswa lulus seleksi (Kolom 4) = 300, sehingga rasio =54.73. 123</v>
      </c>
      <c r="E35" s="500">
        <v>0.82</v>
      </c>
      <c r="F35" s="194">
        <f>hitung_F1!E175</f>
        <v>4</v>
      </c>
      <c r="G35" s="50"/>
      <c r="H35" s="72">
        <f t="shared" si="0"/>
        <v>3.28</v>
      </c>
    </row>
    <row r="36" spans="1:9" ht="76.5">
      <c r="A36" s="188">
        <f t="shared" si="1"/>
        <v>25</v>
      </c>
      <c r="B36" s="189" t="s">
        <v>286</v>
      </c>
      <c r="C36" s="189" t="str">
        <f>hitung_F1!C177</f>
        <v>Rasio jumlah mahasiswa yang mendaftar ulang terhadap jumlah mahasiswa yang lulus seleksi.</v>
      </c>
      <c r="D36" s="191" t="str">
        <f>hitung_F1!G177&amp;". "&amp;hitung_F1!G178</f>
        <v>Jumlah mahasiswa dari semua jenjang pendidikan yang lulus seleksi (Kolom 4)= 300, Jumlah mahasiswa baru bukan transfer dari semua jenjang pendidikan (Kolom 5) = 10492, sehingga rasio = 34.97. ban</v>
      </c>
      <c r="E36" s="500">
        <v>0.41</v>
      </c>
      <c r="F36" s="194">
        <f>hitung_F1!E181</f>
        <v>4</v>
      </c>
      <c r="G36" s="50"/>
      <c r="H36" s="72">
        <f t="shared" si="0"/>
        <v>1.64</v>
      </c>
    </row>
    <row r="37" spans="1:9" ht="63.75">
      <c r="A37" s="188">
        <f t="shared" si="1"/>
        <v>26</v>
      </c>
      <c r="B37" s="189" t="s">
        <v>290</v>
      </c>
      <c r="C37" s="189" t="str">
        <f>hitung_F1!C183</f>
        <v>Rasio jumlah mahasiswa baru transfer terhadap jumlah mahasiswa baru bukan transfer.</v>
      </c>
      <c r="D37" s="191" t="str">
        <f>hitung_F1!G183&amp;". "&amp;hitung_F1!G184</f>
        <v>Jumlah mahasiswa baru bukan transfer dari semua jenjang pendidikan (Kolom 5)= 10492, Jumlah mahasiswa baru  transfer dari semua jenjang pendidikan (Kolom 6) = 40, sehingga rasio = 0. ban</v>
      </c>
      <c r="E37" s="501">
        <v>0.41</v>
      </c>
      <c r="F37" s="194">
        <f>hitung_F1!E187</f>
        <v>4</v>
      </c>
      <c r="G37" s="50"/>
      <c r="H37" s="72">
        <f t="shared" si="0"/>
        <v>1.64</v>
      </c>
    </row>
    <row r="38" spans="1:9" ht="51">
      <c r="A38" s="188">
        <f t="shared" si="1"/>
        <v>27</v>
      </c>
      <c r="B38" s="189" t="s">
        <v>296</v>
      </c>
      <c r="C38" s="189" t="str">
        <f>hitung_F1!C189</f>
        <v>Instrumen dan tata cara pengukuran kepuasan mahasiswa terhadap layanan kemahasiswaan</v>
      </c>
      <c r="D38" s="191" t="str">
        <f>hitung_F1!G189</f>
        <v>yuk</v>
      </c>
      <c r="E38" s="500">
        <v>0.41</v>
      </c>
      <c r="F38" s="194">
        <f>hitung_F1!E194</f>
        <v>3</v>
      </c>
      <c r="G38" s="50"/>
      <c r="H38" s="72">
        <f t="shared" si="0"/>
        <v>1.23</v>
      </c>
    </row>
    <row r="39" spans="1:9" ht="63.75">
      <c r="A39" s="188">
        <f t="shared" si="1"/>
        <v>28</v>
      </c>
      <c r="B39" s="189" t="s">
        <v>302</v>
      </c>
      <c r="C39" s="189" t="str">
        <f>hitung_F1!C196</f>
        <v>Hasil pelaksanaan survei kepuasan mahasiswa terhadap layanan kegiatan kemahasiswaan, dan tindak lanjutnya.</v>
      </c>
      <c r="D39" s="191" t="str">
        <f>hitung_F1!G196</f>
        <v>yuk</v>
      </c>
      <c r="E39" s="500">
        <v>0.41</v>
      </c>
      <c r="F39" s="194">
        <f>hitung_F1!E202</f>
        <v>4</v>
      </c>
      <c r="G39" s="50"/>
      <c r="H39" s="72">
        <f t="shared" si="0"/>
        <v>1.64</v>
      </c>
    </row>
    <row r="40" spans="1:9" ht="63.75">
      <c r="A40" s="188">
        <f t="shared" si="1"/>
        <v>29</v>
      </c>
      <c r="B40" s="189" t="s">
        <v>308</v>
      </c>
      <c r="C40" s="189" t="str">
        <f>hitung_F1!C204</f>
        <v>Layanan kepada mahasiswa dalam bidang (1) bimbingan dan konseling, (2) minat dan bakat, (3) pembinaan soft skills, (4) beasiswa, dan (5) kesehatan.</v>
      </c>
      <c r="D40" s="191" t="str">
        <f>hitung_F1!G204</f>
        <v>uytit</v>
      </c>
      <c r="E40" s="500">
        <v>0.41</v>
      </c>
      <c r="F40" s="194">
        <f>hitung_F1!E210</f>
        <v>4</v>
      </c>
      <c r="G40" s="50"/>
      <c r="H40" s="72">
        <f t="shared" si="0"/>
        <v>1.64</v>
      </c>
    </row>
    <row r="41" spans="1:9" ht="51">
      <c r="A41" s="188">
        <f t="shared" si="1"/>
        <v>30</v>
      </c>
      <c r="B41" s="189" t="s">
        <v>315</v>
      </c>
      <c r="C41" s="189" t="str">
        <f>hitung_F1!C212</f>
        <v>Pemilikan program layanan bimbingan karir dan informasi kerja bagi mahasiswa dan lulusan.</v>
      </c>
      <c r="D41" s="191" t="str">
        <f>hitung_F1!G212</f>
        <v>reter</v>
      </c>
      <c r="E41" s="500">
        <v>0.41</v>
      </c>
      <c r="F41" s="194">
        <f>hitung_F1!E217</f>
        <v>4</v>
      </c>
      <c r="G41" s="50"/>
      <c r="H41" s="72">
        <f t="shared" si="0"/>
        <v>1.64</v>
      </c>
    </row>
    <row r="42" spans="1:9" ht="51">
      <c r="A42" s="188">
        <f t="shared" si="1"/>
        <v>31</v>
      </c>
      <c r="B42" s="189" t="s">
        <v>321</v>
      </c>
      <c r="C42" s="189" t="str">
        <f>hitung_F1!C219</f>
        <v>Pelaksanaan program layanan bimbingan karir dan informasi kerja bagi mahasiswa dan lulusan, serta hasilnya.</v>
      </c>
      <c r="D42" s="191" t="str">
        <f>hitung_F1!G219</f>
        <v>erger</v>
      </c>
      <c r="E42" s="500">
        <v>0.41</v>
      </c>
      <c r="F42" s="194">
        <f>hitung_F1!E224</f>
        <v>4</v>
      </c>
      <c r="G42" s="50"/>
      <c r="H42" s="72">
        <f t="shared" si="0"/>
        <v>1.64</v>
      </c>
    </row>
    <row r="43" spans="1:9" ht="89.25">
      <c r="A43" s="188">
        <f t="shared" si="1"/>
        <v>32</v>
      </c>
      <c r="B43" s="189" t="s">
        <v>327</v>
      </c>
      <c r="C43" s="189" t="str">
        <f>hitung_F1!C226</f>
        <v>Pencapaian prestasi mahasiswa di tingkat propinsi/ wilayah, nasional, dan internasional.</v>
      </c>
      <c r="D43" s="191" t="str">
        <f>hitung_F1!G226&amp;". "&amp;hitung_F1!G227</f>
        <v>Jumlah penghargaan tingkat propinsi/wilayah = 0, Jumlah penghargaan tingkat nasional = 4, Jumlah penghargaan tingkat internasional = 0, Jumlah semua program studi = 5, sehingga skor = 2.4. ban</v>
      </c>
      <c r="E43" s="500">
        <v>0.82</v>
      </c>
      <c r="F43" s="194">
        <f>hitung_F1!E232</f>
        <v>2.4</v>
      </c>
      <c r="G43" s="50"/>
      <c r="H43" s="72">
        <f t="shared" si="0"/>
        <v>1.9679999999999997</v>
      </c>
    </row>
    <row r="44" spans="1:9" ht="51">
      <c r="A44" s="188">
        <f t="shared" si="1"/>
        <v>33</v>
      </c>
      <c r="B44" s="189" t="s">
        <v>333</v>
      </c>
      <c r="C44" s="189" t="str">
        <f>hitung_F1!C234</f>
        <v>Upaya institusi untuk meningkatkan prestasi mahasiswa dalam bidang akademik dan non-akademik.</v>
      </c>
      <c r="D44" s="191" t="str">
        <f>hitung_F1!G234</f>
        <v>ergre</v>
      </c>
      <c r="E44" s="500">
        <v>0.41</v>
      </c>
      <c r="F44" s="194">
        <f>hitung_F1!E240</f>
        <v>4</v>
      </c>
      <c r="G44" s="50"/>
      <c r="H44" s="72">
        <f t="shared" si="0"/>
        <v>1.64</v>
      </c>
    </row>
    <row r="45" spans="1:9" ht="38.25">
      <c r="A45" s="188">
        <f t="shared" si="1"/>
        <v>34</v>
      </c>
      <c r="B45" s="189" t="s">
        <v>17</v>
      </c>
      <c r="C45" s="189" t="str">
        <f>hitung_F1!C242</f>
        <v>Persentase mahasiswa DO atau mengundurkan diri untuk semua program studi.</v>
      </c>
      <c r="D45" s="191" t="str">
        <f>hitung_F1!G242</f>
        <v>ertge</v>
      </c>
      <c r="E45" s="500">
        <v>0.41</v>
      </c>
      <c r="F45" s="194">
        <f>hitung_F1!E265</f>
        <v>0</v>
      </c>
      <c r="G45" s="50"/>
      <c r="H45" s="72">
        <f t="shared" si="0"/>
        <v>0</v>
      </c>
    </row>
    <row r="46" spans="1:9" ht="38.25">
      <c r="A46" s="188">
        <f t="shared" si="1"/>
        <v>35</v>
      </c>
      <c r="B46" s="189" t="s">
        <v>18</v>
      </c>
      <c r="C46" s="189" t="str">
        <f>hitung_F1!C267</f>
        <v>Persentase kelulusan tepat waktu untuk semua program studi</v>
      </c>
      <c r="D46" s="191" t="str">
        <f>hitung_F1!G267</f>
        <v>ewf</v>
      </c>
      <c r="E46" s="500">
        <v>1.23</v>
      </c>
      <c r="F46" s="194">
        <f>hitung_F1!E283</f>
        <v>4</v>
      </c>
      <c r="G46" s="50"/>
      <c r="H46" s="72">
        <f t="shared" si="0"/>
        <v>4.92</v>
      </c>
      <c r="I46" s="143"/>
    </row>
    <row r="47" spans="1:9" ht="51">
      <c r="A47" s="188">
        <f t="shared" si="1"/>
        <v>36</v>
      </c>
      <c r="B47" s="189" t="s">
        <v>412</v>
      </c>
      <c r="C47" s="189" t="str">
        <f>hitung_F1!C285</f>
        <v>Rata-rata lama studi lulusan dalam tiga tahun terakhir (hitungan di bawah)</v>
      </c>
      <c r="D47" s="191" t="str">
        <f>hitung_F1!G285</f>
        <v>Rata-rata lama studi lulusan S3 = 0 tahun, S2 = 0 tahun, S1 = 5.04 tahun, D4 = 0 tahun, D3 = 0 tahun, D2 = 0 tahun, D1 = 0 tahun</v>
      </c>
      <c r="E47" s="500">
        <v>1.23</v>
      </c>
      <c r="F47" s="194">
        <f>hitung_F1!E285</f>
        <v>1.3066666666666666</v>
      </c>
      <c r="G47" s="502"/>
      <c r="H47" s="72">
        <f t="shared" si="0"/>
        <v>1.6072</v>
      </c>
    </row>
    <row r="48" spans="1:9" ht="38.25">
      <c r="A48" s="188">
        <f t="shared" si="1"/>
        <v>37</v>
      </c>
      <c r="B48" s="189" t="s">
        <v>419</v>
      </c>
      <c r="C48" s="189" t="str">
        <f>hitung_F1!C287</f>
        <v>Rata-rata IPK lulusan dalam tiga tahun terakhir (hitungan di bawah)</v>
      </c>
      <c r="D48" s="191" t="str">
        <f>hitung_F1!G287</f>
        <v>Rata-rata IPK lulusan S3 = 0, S2 = 0, S1 = 2.96, D4 = 0, D3 = 3.13, D2 = 0, D1 = 0</v>
      </c>
      <c r="E48" s="500">
        <v>0.82</v>
      </c>
      <c r="F48" s="194">
        <f>hitung_F1!E287</f>
        <v>3.91</v>
      </c>
      <c r="G48" s="50"/>
      <c r="H48" s="72">
        <f t="shared" si="0"/>
        <v>3.2061999999999999</v>
      </c>
    </row>
    <row r="49" spans="1:9" ht="63.75">
      <c r="A49" s="188">
        <f t="shared" si="1"/>
        <v>38</v>
      </c>
      <c r="B49" s="189" t="s">
        <v>435</v>
      </c>
      <c r="C49" s="189" t="str">
        <f>hitung_F1!C361</f>
        <v>Sistem evaluasi lulusan yang efektif, mencakup kebijakan dan strategi, keberadaan instrumen, monitoring dan evaluasi, serta tindak lanjutnya.</v>
      </c>
      <c r="D49" s="191" t="str">
        <f>hitung_F1!G361&amp;" "&amp;hitung_F1!G363</f>
        <v xml:space="preserve">test </v>
      </c>
      <c r="E49" s="500">
        <v>0.82</v>
      </c>
      <c r="F49" s="194">
        <f>hitung_F1!E366</f>
        <v>1</v>
      </c>
      <c r="G49" s="50"/>
      <c r="H49" s="72">
        <f t="shared" si="0"/>
        <v>0.82</v>
      </c>
    </row>
    <row r="50" spans="1:9" ht="51">
      <c r="A50" s="188">
        <f t="shared" si="1"/>
        <v>39</v>
      </c>
      <c r="B50" s="189" t="s">
        <v>438</v>
      </c>
      <c r="C50" s="189" t="str">
        <f>hitung_F1!C368</f>
        <v xml:space="preserve">Rasio alumni dalam lima tahun terakhir yang memberikan respon terhadap studi pelacakan. </v>
      </c>
      <c r="D50" s="191" t="str">
        <f>hitung_F1!G368&amp;". "&amp;hitung_F1!G369</f>
        <v xml:space="preserve">Banyaknya alumni tiga tahun terakhir yang memberikan respon = 50,Banyaknya alumni dalam tiga tahun terakhir = 200, sehingga rasio = 0.25. </v>
      </c>
      <c r="E50" s="500">
        <v>0.82</v>
      </c>
      <c r="F50" s="194">
        <f>hitung_F1!E372</f>
        <v>4</v>
      </c>
      <c r="G50" s="50"/>
      <c r="H50" s="72">
        <f t="shared" si="0"/>
        <v>3.28</v>
      </c>
    </row>
    <row r="51" spans="1:9" ht="114.75">
      <c r="A51" s="188">
        <f t="shared" si="1"/>
        <v>40</v>
      </c>
      <c r="B51" s="189" t="s">
        <v>441</v>
      </c>
      <c r="C51" s="189" t="str">
        <f>hitung_F1!C374</f>
        <v xml:space="preserve">Partisipasi alumni dalam mendukung pengembangan  perguruan tinggi dalam bentuk: (1) Sumbangan dana, (2) Sumbangan fasilitas, (3) Masukan untuk perbaikan proses pembelajaran, (4) Pengembangan jejaring
</v>
      </c>
      <c r="D51" s="191" t="str">
        <f>hitung_F1!G374</f>
        <v>we</v>
      </c>
      <c r="E51" s="500">
        <v>0.82</v>
      </c>
      <c r="F51" s="194">
        <f>hitung_F1!E380</f>
        <v>3</v>
      </c>
      <c r="G51" s="50"/>
      <c r="H51" s="72">
        <f t="shared" si="0"/>
        <v>2.46</v>
      </c>
    </row>
    <row r="52" spans="1:9" ht="127.5">
      <c r="A52" s="188">
        <f t="shared" si="1"/>
        <v>41</v>
      </c>
      <c r="B52" s="189">
        <v>4.0999999999999996</v>
      </c>
      <c r="C52" s="189" t="str">
        <f>hitung_F1!C382</f>
        <v>Sistem pengelolaan sumber daya manusia yang lengkap, transparan, dan akuntabel, mencakup: perencanaan, rekrutmen, seleksi, dan pemberhentian pegawai,  orientasi dan penempatan pegawai,  pengembangan karir,  remunerasi, penghargaan, dan sanksi.</v>
      </c>
      <c r="D52" s="191" t="str">
        <f>hitung_F1!G382&amp;" "&amp;hitung_F1!G384</f>
        <v xml:space="preserve">AAAA </v>
      </c>
      <c r="E52" s="500">
        <v>0.92</v>
      </c>
      <c r="F52" s="194">
        <f>hitung_F1!E387</f>
        <v>2</v>
      </c>
      <c r="G52" s="50"/>
      <c r="H52" s="72">
        <f t="shared" si="0"/>
        <v>1.84</v>
      </c>
      <c r="I52" s="737">
        <f>SUM(H52:H67)</f>
        <v>53.05771428571429</v>
      </c>
    </row>
    <row r="53" spans="1:9" ht="51">
      <c r="A53" s="188">
        <f t="shared" si="1"/>
        <v>42</v>
      </c>
      <c r="B53" s="189" t="s">
        <v>45</v>
      </c>
      <c r="C53" s="189" t="str">
        <f>hitung_F1!C389</f>
        <v xml:space="preserve">Pedoman formal tentang sistem monitoring dan evaluasi, serta rekam jejak kinerja dosen dan tenaga kependidikan. </v>
      </c>
      <c r="D53" s="191" t="str">
        <f>hitung_F1!G389</f>
        <v>werw</v>
      </c>
      <c r="E53" s="500">
        <v>0.92</v>
      </c>
      <c r="F53" s="194">
        <f>hitung_F1!E395</f>
        <v>4</v>
      </c>
      <c r="G53" s="50"/>
      <c r="H53" s="72">
        <f t="shared" si="0"/>
        <v>3.68</v>
      </c>
    </row>
    <row r="54" spans="1:9" ht="63.75">
      <c r="A54" s="188">
        <f t="shared" si="1"/>
        <v>43</v>
      </c>
      <c r="B54" s="189" t="s">
        <v>46</v>
      </c>
      <c r="C54" s="189" t="str">
        <f>hitung_F1!C397</f>
        <v>Pelaksanaan monitoring dan evaluasi (monev) kinerja dosen di bidang  pendidikan, penelitian, pelayanan/pengabdian kepada masyarakat.</v>
      </c>
      <c r="D54" s="191" t="str">
        <f>hitung_F1!G397&amp;" "&amp;hitung_F1!G399</f>
        <v xml:space="preserve">rrrrr </v>
      </c>
      <c r="E54" s="500">
        <v>0.92</v>
      </c>
      <c r="F54" s="194">
        <f>hitung_F1!E403</f>
        <v>1</v>
      </c>
      <c r="G54" s="50"/>
      <c r="H54" s="72">
        <f t="shared" si="0"/>
        <v>0.92</v>
      </c>
    </row>
    <row r="55" spans="1:9" ht="38.25">
      <c r="A55" s="188">
        <f t="shared" si="1"/>
        <v>44</v>
      </c>
      <c r="B55" s="189" t="s">
        <v>19</v>
      </c>
      <c r="C55" s="189" t="str">
        <f>hitung_F1!C405</f>
        <v>Rasio jumlah mahasiswa terhadap jumlah dosen tetap.</v>
      </c>
      <c r="D55" s="191" t="str">
        <f>hitung_F1!G405&amp;". "&amp;hitung_F1!G406</f>
        <v>Jumlah mahasiswa pada TS = 1100, Jumlah dosen tetap = 51, sehingga rasio = 21.57. rrrrr</v>
      </c>
      <c r="E55" s="500">
        <v>2.76</v>
      </c>
      <c r="F55" s="194">
        <f>hitung_F1!E409</f>
        <v>4</v>
      </c>
      <c r="G55" s="50"/>
      <c r="H55" s="72">
        <f t="shared" si="0"/>
        <v>11.04</v>
      </c>
    </row>
    <row r="56" spans="1:9" ht="51">
      <c r="A56" s="188">
        <f t="shared" si="1"/>
        <v>45</v>
      </c>
      <c r="B56" s="189" t="s">
        <v>20</v>
      </c>
      <c r="C56" s="189" t="str">
        <f>hitung_F1!C411</f>
        <v>Jumlah dosen tetap yang berpendidikan doktor/Sp-2</v>
      </c>
      <c r="D56" s="191" t="str">
        <f>hitung_F1!G411&amp;". "&amp;hitung_F1!G412</f>
        <v>Jumlah dosen tetap yang berpendidikan doktor/Sp-2 = 0, Jumlah dosen tetap = 51, sehingga persentase dosen tetap berpendidikan doktor/Sp-2 = 0%. rrrrr</v>
      </c>
      <c r="E56" s="500">
        <v>0.92</v>
      </c>
      <c r="F56" s="194">
        <f>hitung_F1!E414</f>
        <v>2</v>
      </c>
      <c r="G56" s="50"/>
      <c r="H56" s="72">
        <f t="shared" si="0"/>
        <v>1.84</v>
      </c>
    </row>
    <row r="57" spans="1:9" ht="63.75">
      <c r="A57" s="188">
        <f t="shared" si="1"/>
        <v>46</v>
      </c>
      <c r="B57" s="189" t="s">
        <v>21</v>
      </c>
      <c r="C57" s="191" t="str">
        <f>hitung_F1!C416</f>
        <v>Persentase dosen tetap dengan jabatan guru besar (untuk institut, universitas, dan sekolah tinggi) dan lektor kepala (untuk akademi dan politeknik).</v>
      </c>
      <c r="D57" s="191" t="str">
        <f>hitung_F1!G416&amp;". "&amp;hitung_F1!G417</f>
        <v>Persentase dosen dengan jabatan guru besar = 0%, Persentase dosen dengan jabatan lektor kepala = 0%. rrrrr</v>
      </c>
      <c r="E57" s="500">
        <v>0.92</v>
      </c>
      <c r="F57" s="194">
        <f>hitung_F1!E420</f>
        <v>2</v>
      </c>
      <c r="G57" s="50"/>
      <c r="H57" s="72">
        <f t="shared" si="0"/>
        <v>1.84</v>
      </c>
    </row>
    <row r="58" spans="1:9" ht="63.75">
      <c r="A58" s="188">
        <f t="shared" si="1"/>
        <v>47</v>
      </c>
      <c r="B58" s="189" t="s">
        <v>47</v>
      </c>
      <c r="C58" s="191" t="str">
        <f>hitung_F1!C422</f>
        <v>Rasio dosen tidak tetap terhadap jumlah seluruh dosen.</v>
      </c>
      <c r="D58" s="191" t="str">
        <f>hitung_F1!G422&amp;". "&amp;hitung_F1!G423</f>
        <v>Jumlah dosen tidak tetap = 10, Jumlah seluruh dosen (tetap + tidak tetap) =500, sehingga persentase jumlah dosen tidak tetap terhadap jumlah seluruh dosen = 2%. rrrrr</v>
      </c>
      <c r="E58" s="500">
        <v>1.84</v>
      </c>
      <c r="F58" s="194">
        <f>hitung_F1!E426</f>
        <v>4</v>
      </c>
      <c r="G58" s="50"/>
      <c r="H58" s="72">
        <f t="shared" si="0"/>
        <v>7.36</v>
      </c>
    </row>
    <row r="59" spans="1:9" ht="89.25">
      <c r="A59" s="188">
        <f t="shared" si="1"/>
        <v>48</v>
      </c>
      <c r="B59" s="189">
        <v>4.4000000000000004</v>
      </c>
      <c r="C59" s="191" t="str">
        <f>hitung_F1!C428</f>
        <v>Persentase dosen tetap yang menjalani program peningkatan kompetensi melalui tugas belajar. Jika persentase dosen bergelar doktor/Sp-2 ≥ 50%, maka skor butir ini otomatis = 4. (Lihat butir 4.3.1.2).</v>
      </c>
      <c r="D59" s="191" t="str">
        <f>hitung_F1!G428&amp;". "&amp;hitung_F1!G429</f>
        <v>Banyaknya dosen yang mengikuti pendidikan tanpa gelar = 5, Banyaknya dosen yang mengikuti pendidikan S2/Sp-1 = 20, Banyaknya dosen yang mengikuti pendidikan S3/Sp-2 = 15, banyaknya prodi = 3 maka skor SP = 11.67. rrrrr</v>
      </c>
      <c r="E59" s="500">
        <v>1.84</v>
      </c>
      <c r="F59" s="194">
        <f>hitung_F1!E434</f>
        <v>4</v>
      </c>
      <c r="G59" s="50"/>
      <c r="H59" s="72">
        <f t="shared" si="0"/>
        <v>7.36</v>
      </c>
    </row>
    <row r="60" spans="1:9" ht="76.5">
      <c r="A60" s="188">
        <f t="shared" si="1"/>
        <v>49</v>
      </c>
      <c r="B60" s="189" t="s">
        <v>482</v>
      </c>
      <c r="C60" s="189" t="str">
        <f>hitung_F1!C436</f>
        <v>Pustakawan dan kualifikasinya.</v>
      </c>
      <c r="D60" s="191" t="str">
        <f>hitung_F1!G436&amp;". "&amp;hitung_F1!G437</f>
        <v>Jumlah pustakawan yang berpendidikan S2/S3/Special Librarian = 0, Jumlah pustakawan yang berpendidikan D4 atau S1 = 2, Jumlah pustakawan yang berpendidikan D1, D2, atau D3 = 2 sehingga skor A = 2.5. rrrrr</v>
      </c>
      <c r="E60" s="500">
        <v>0.92</v>
      </c>
      <c r="F60" s="194">
        <f>hitung_F1!E441</f>
        <v>2.5</v>
      </c>
      <c r="G60" s="50"/>
      <c r="H60" s="72">
        <f t="shared" si="0"/>
        <v>2.3000000000000003</v>
      </c>
    </row>
    <row r="61" spans="1:9" ht="102">
      <c r="A61" s="188">
        <f t="shared" si="1"/>
        <v>50</v>
      </c>
      <c r="B61" s="189" t="s">
        <v>491</v>
      </c>
      <c r="C61" s="189" t="str">
        <f>hitung_F1!C443</f>
        <v xml:space="preserve">Laboran, teknisi, analis, operator, dan programer.
Catatan: Agar dibandingkan dengan kegiatan yang seharusnya dilakukan dalam perguruan tinggi yang bersangkutan.
</v>
      </c>
      <c r="D61" s="191" t="str">
        <f>hitung_F1!G443</f>
        <v>4w22</v>
      </c>
      <c r="E61" s="500">
        <v>0.92</v>
      </c>
      <c r="F61" s="194">
        <f>hitung_F1!E448</f>
        <v>2.25</v>
      </c>
      <c r="G61" s="50"/>
      <c r="H61" s="72">
        <f t="shared" si="0"/>
        <v>2.0700000000000003</v>
      </c>
    </row>
    <row r="62" spans="1:9" ht="127.5">
      <c r="A62" s="188">
        <f t="shared" si="1"/>
        <v>51</v>
      </c>
      <c r="B62" s="189" t="s">
        <v>497</v>
      </c>
      <c r="C62" s="189" t="str">
        <f>hitung_F1!C450</f>
        <v xml:space="preserve">Tenaga administrasi
Catatan: Agar dibandingkan dengan kegiatan yang seharusnya dilakukan dalam perguruan tinggi yang bersangkutan. Pertimbangkan aspek sistem IT yang dimiliki dan jumah mahasiswa yang harus dilayani.
</v>
      </c>
      <c r="D62" s="191" t="str">
        <f>hitung_F1!G450</f>
        <v>wr3e</v>
      </c>
      <c r="E62" s="500">
        <v>0.92</v>
      </c>
      <c r="F62" s="194">
        <f>hitung_F1!E455</f>
        <v>2.75</v>
      </c>
      <c r="G62" s="50"/>
      <c r="H62" s="72">
        <f t="shared" si="0"/>
        <v>2.5300000000000002</v>
      </c>
    </row>
    <row r="63" spans="1:9" ht="76.5">
      <c r="A63" s="188">
        <f t="shared" si="1"/>
        <v>52</v>
      </c>
      <c r="B63" s="189" t="s">
        <v>498</v>
      </c>
      <c r="C63" s="189" t="str">
        <f>hitung_F1!C457</f>
        <v>Persentase laboran/teknisi/ analis/operator/programer yang memiliki sertifikat kompetensi.</v>
      </c>
      <c r="D63" s="191" t="str">
        <f>hitung_F1!G457&amp;". "&amp;hitung_F1!G458</f>
        <v>Jumlah laboran/teknisi/analis/operator/programer = 10, Jumlah laboran/teknisi/analis/operator/programer yg memiliki sertifikat kompetensi = 1, sehingga persentase =10%. rrrrr</v>
      </c>
      <c r="E63" s="500">
        <v>0.92</v>
      </c>
      <c r="F63" s="194">
        <f>hitung_F1!E461</f>
        <v>0.5714285714285714</v>
      </c>
      <c r="G63" s="50"/>
      <c r="H63" s="72">
        <f t="shared" si="0"/>
        <v>0.52571428571428569</v>
      </c>
    </row>
    <row r="64" spans="1:9" ht="38.25">
      <c r="A64" s="188">
        <f t="shared" si="1"/>
        <v>53</v>
      </c>
      <c r="B64" s="189" t="s">
        <v>48</v>
      </c>
      <c r="C64" s="191" t="str">
        <f>hitung_F1!C463</f>
        <v>Upaya perguruan tinggi dalam meningkatkan kualifikasi dan kompetensi tenaga kependidikan.</v>
      </c>
      <c r="D64" s="191" t="str">
        <f>hitung_F1!G463</f>
        <v>re</v>
      </c>
      <c r="E64" s="500">
        <v>0.92</v>
      </c>
      <c r="F64" s="194">
        <f>hitung_F1!E469</f>
        <v>2.75</v>
      </c>
      <c r="G64" s="50"/>
      <c r="H64" s="72">
        <f t="shared" si="0"/>
        <v>2.5300000000000002</v>
      </c>
    </row>
    <row r="65" spans="1:9" ht="63.75">
      <c r="A65" s="188">
        <f t="shared" si="1"/>
        <v>54</v>
      </c>
      <c r="B65" s="189" t="s">
        <v>508</v>
      </c>
      <c r="C65" s="189" t="str">
        <f>hitung_F1!C471</f>
        <v>Instrumen survei kepuasan dosen, pustakawan, laboran, teknisi, dan tenaga administrasi  terhadap sistem pengelolaan sumber daya manusia</v>
      </c>
      <c r="D65" s="191" t="str">
        <f>hitung_F1!G471</f>
        <v>erre</v>
      </c>
      <c r="E65" s="500">
        <v>0.92</v>
      </c>
      <c r="F65" s="194">
        <f>hitung_F1!E476</f>
        <v>2.75</v>
      </c>
      <c r="G65" s="50"/>
      <c r="H65" s="72">
        <f t="shared" si="0"/>
        <v>2.5300000000000002</v>
      </c>
    </row>
    <row r="66" spans="1:9" ht="76.5">
      <c r="A66" s="188">
        <f t="shared" si="1"/>
        <v>55</v>
      </c>
      <c r="B66" s="189" t="s">
        <v>49</v>
      </c>
      <c r="C66" s="189" t="str">
        <f>hitung_F1!C478</f>
        <v>Pelaksanaan survei kepuasan dosen, pustakawan, laboran, teknisi, tenaga administrasi, dan tenaga pendukung terhadap sistem pengelolaan sumber daya manusia.</v>
      </c>
      <c r="D66" s="191" t="str">
        <f>hitung_F1!G478</f>
        <v>dd</v>
      </c>
      <c r="E66" s="500">
        <v>0.92</v>
      </c>
      <c r="F66" s="194">
        <f>hitung_F1!E483</f>
        <v>2.5</v>
      </c>
      <c r="G66" s="50"/>
      <c r="H66" s="72">
        <f t="shared" si="0"/>
        <v>2.3000000000000003</v>
      </c>
    </row>
    <row r="67" spans="1:9" ht="76.5">
      <c r="A67" s="188">
        <f t="shared" si="1"/>
        <v>56</v>
      </c>
      <c r="B67" s="189" t="s">
        <v>519</v>
      </c>
      <c r="C67" s="191" t="str">
        <f>hitung_F1!C485</f>
        <v>Pemanfaatan hasil survei kepuasan dosen, pustakawan, laboran, teknisi, dan tenaga administrasi terhadap sistem pengelolaan sumber daya manusia.</v>
      </c>
      <c r="D67" s="191" t="str">
        <f>hitung_F1!G485</f>
        <v>asa</v>
      </c>
      <c r="E67" s="500">
        <v>0.92</v>
      </c>
      <c r="F67" s="194">
        <f>hitung_F1!E490</f>
        <v>2.6</v>
      </c>
      <c r="G67" s="50"/>
      <c r="H67" s="72">
        <f t="shared" si="0"/>
        <v>2.3920000000000003</v>
      </c>
    </row>
    <row r="68" spans="1:9" ht="38.25">
      <c r="A68" s="188">
        <f t="shared" si="1"/>
        <v>57</v>
      </c>
      <c r="B68" s="189" t="s">
        <v>525</v>
      </c>
      <c r="C68" s="191" t="str">
        <f>hitung_F1!C492</f>
        <v>Dokumen kebijakan tentang pengembangan kurikulum yang lengkap.</v>
      </c>
      <c r="D68" s="191" t="str">
        <f>hitung_F1!G492</f>
        <v>ww</v>
      </c>
      <c r="E68" s="500">
        <v>0.79</v>
      </c>
      <c r="F68" s="194">
        <f>hitung_F1!E497</f>
        <v>2.7</v>
      </c>
      <c r="G68" s="50"/>
      <c r="H68" s="72">
        <f t="shared" si="0"/>
        <v>2.1330000000000005</v>
      </c>
      <c r="I68" s="737">
        <f>SUM(H68:H74)</f>
        <v>24.253</v>
      </c>
    </row>
    <row r="69" spans="1:9" ht="38.25">
      <c r="A69" s="188">
        <f t="shared" si="1"/>
        <v>58</v>
      </c>
      <c r="B69" s="189" t="s">
        <v>531</v>
      </c>
      <c r="C69" s="191" t="str">
        <f>hitung_F1!C499</f>
        <v>Monitoring dan evaluasi pengembangan kurikulum program studi.</v>
      </c>
      <c r="D69" s="191" t="str">
        <f>hitung_F1!G499</f>
        <v>hg</v>
      </c>
      <c r="E69" s="500">
        <v>0.79</v>
      </c>
      <c r="F69" s="194">
        <f>hitung_F1!E504</f>
        <v>3</v>
      </c>
      <c r="G69" s="50"/>
      <c r="H69" s="72">
        <f t="shared" si="0"/>
        <v>2.37</v>
      </c>
    </row>
    <row r="70" spans="1:9" ht="114.75">
      <c r="A70" s="188">
        <f t="shared" si="1"/>
        <v>59</v>
      </c>
      <c r="B70" s="189" t="s">
        <v>22</v>
      </c>
      <c r="C70" s="189" t="str">
        <f>hitung_F1!C506</f>
        <v>Unit pengkajian dan pengembangan sistem dan mutu pembelajaran mendorong mahasiswa untuk berfikir kritis, bereksplorasi, berekspresi, bereksperimen dengan memanfaatkan aneka sumber yang hasilnya dimanfaatkan oleh institusi.</v>
      </c>
      <c r="D70" s="191" t="str">
        <f>hitung_F1!G506</f>
        <v>w</v>
      </c>
      <c r="E70" s="500">
        <v>1.58</v>
      </c>
      <c r="F70" s="194">
        <f>hitung_F1!E511</f>
        <v>4</v>
      </c>
      <c r="G70" s="50"/>
      <c r="H70" s="72">
        <f t="shared" si="0"/>
        <v>6.32</v>
      </c>
    </row>
    <row r="71" spans="1:9" ht="51">
      <c r="A71" s="188">
        <f t="shared" si="1"/>
        <v>60</v>
      </c>
      <c r="B71" s="189" t="s">
        <v>23</v>
      </c>
      <c r="C71" s="191" t="str">
        <f>hitung_F1!C513</f>
        <v>Sistem pengendalian mutu pembelajaran diterapkan institusi termasuk proses monitoring, evaluasi, dan pemanfaatannya</v>
      </c>
      <c r="D71" s="191" t="str">
        <f>hitung_F1!G513</f>
        <v>ff</v>
      </c>
      <c r="E71" s="500">
        <v>1.58</v>
      </c>
      <c r="F71" s="194">
        <f>hitung_F1!E518</f>
        <v>3</v>
      </c>
      <c r="G71" s="50"/>
      <c r="H71" s="72">
        <f t="shared" si="0"/>
        <v>4.74</v>
      </c>
    </row>
    <row r="72" spans="1:9" ht="114.75">
      <c r="A72" s="188">
        <f t="shared" si="1"/>
        <v>61</v>
      </c>
      <c r="B72" s="189" t="s">
        <v>24</v>
      </c>
      <c r="C72" s="191" t="str">
        <f>hitung_F1!C520</f>
        <v xml:space="preserve">Pedoman pelaksanaan tridarma perguruan tinggi yang digunakan sebagai acuan bagi perencanaan dan pelaksanaan program tridarma unit dibawahnya, menjamin terintegrasinya kegiatan penelitian dan PkM ke dalam proses pembelajaran.
</v>
      </c>
      <c r="D72" s="191" t="str">
        <f>hitung_F1!G520</f>
        <v>uu</v>
      </c>
      <c r="E72" s="500">
        <v>0.79</v>
      </c>
      <c r="F72" s="194">
        <f>hitung_F1!E525</f>
        <v>3</v>
      </c>
      <c r="G72" s="50"/>
      <c r="H72" s="72">
        <f t="shared" si="0"/>
        <v>2.37</v>
      </c>
    </row>
    <row r="73" spans="1:9" ht="63.75">
      <c r="A73" s="188">
        <f t="shared" si="1"/>
        <v>62</v>
      </c>
      <c r="B73" s="189" t="s">
        <v>25</v>
      </c>
      <c r="C73" s="189" t="str">
        <f>hitung_F1!C527</f>
        <v>Dokumen formal tentang kebebasan akademik, kebebasan mimbar akademik, dan otonomi keilmuan, serta konsistensi pelaksanaannya.</v>
      </c>
      <c r="D73" s="191" t="str">
        <f>hitung_F1!G527</f>
        <v>dd</v>
      </c>
      <c r="E73" s="500">
        <v>0.79</v>
      </c>
      <c r="F73" s="194">
        <f>hitung_F1!E532</f>
        <v>4</v>
      </c>
      <c r="G73" s="50"/>
      <c r="H73" s="72">
        <f t="shared" si="0"/>
        <v>3.16</v>
      </c>
    </row>
    <row r="74" spans="1:9" ht="51">
      <c r="A74" s="188">
        <f t="shared" si="1"/>
        <v>63</v>
      </c>
      <c r="B74" s="189" t="s">
        <v>50</v>
      </c>
      <c r="C74" s="191" t="str">
        <f>hitung_F1!C534</f>
        <v>Sistem pengembangan suasana akademik yang kondusif bagi pebelajar untuk meraih prestasi akademik yang maksimal.</v>
      </c>
      <c r="D74" s="191" t="str">
        <f>hitung_F1!G534</f>
        <v>df</v>
      </c>
      <c r="E74" s="500">
        <v>1.58</v>
      </c>
      <c r="F74" s="194">
        <f>hitung_F1!E539</f>
        <v>2</v>
      </c>
      <c r="G74" s="50"/>
      <c r="H74" s="72">
        <f t="shared" si="0"/>
        <v>3.16</v>
      </c>
    </row>
    <row r="75" spans="1:9" ht="89.25">
      <c r="A75" s="188">
        <f t="shared" si="1"/>
        <v>64</v>
      </c>
      <c r="B75" s="189" t="s">
        <v>33</v>
      </c>
      <c r="C75" s="189" t="str">
        <f>hitung_F1!C541</f>
        <v>Dokumen pengelolaan dana yang mencakup (1) perencanaan penerimaan dan pengalokasian dana, (2) pelaporan, (3) audit, (4) monitoring dan evaluasi, serta (5) pertanggungjawaban kepada pemangku kepentingan.</v>
      </c>
      <c r="D75" s="191" t="str">
        <f>hitung_F1!G541</f>
        <v>bnb</v>
      </c>
      <c r="E75" s="500">
        <v>0.61</v>
      </c>
      <c r="F75" s="194">
        <f>hitung_F1!E547</f>
        <v>3</v>
      </c>
      <c r="G75" s="50"/>
      <c r="H75" s="72">
        <f t="shared" si="0"/>
        <v>1.83</v>
      </c>
      <c r="I75" s="737">
        <f>SUM(H75:H98)</f>
        <v>61.49960256410256</v>
      </c>
    </row>
    <row r="76" spans="1:9" ht="51">
      <c r="A76" s="188">
        <f t="shared" si="1"/>
        <v>65</v>
      </c>
      <c r="B76" s="189" t="s">
        <v>34</v>
      </c>
      <c r="C76" s="189" t="str">
        <f>hitung_F1!C549</f>
        <v>Mekanisme penetapan biaya pendidikan mahasiswa dengan mengikutsertakan semua pemangku kepentingan internal.</v>
      </c>
      <c r="D76" s="191" t="str">
        <f>hitung_F1!G549</f>
        <v>nmn</v>
      </c>
      <c r="E76" s="500">
        <v>0.61</v>
      </c>
      <c r="F76" s="194">
        <f>hitung_F1!E554</f>
        <v>2</v>
      </c>
      <c r="G76" s="50"/>
      <c r="H76" s="72">
        <f t="shared" si="0"/>
        <v>1.22</v>
      </c>
    </row>
    <row r="77" spans="1:9" ht="102">
      <c r="A77" s="188">
        <f t="shared" si="1"/>
        <v>66</v>
      </c>
      <c r="B77" s="189" t="s">
        <v>576</v>
      </c>
      <c r="C77" s="189" t="str">
        <f>hitung_F1!C556</f>
        <v>Kebijakan mengenai pembiayaan mahasiswa yang berpotensi secara akademik dan kurang mampu secara ekonomi, serta persentase mahasiswa yang mendapatkan keringanan atau pembebasan biaya pendidikan terhadap total mahasiswa.</v>
      </c>
      <c r="D77" s="191" t="str">
        <f>hitung_F1!G556</f>
        <v>df</v>
      </c>
      <c r="E77" s="500">
        <v>0.61</v>
      </c>
      <c r="F77" s="194">
        <f>hitung_F1!E561</f>
        <v>3</v>
      </c>
      <c r="G77" s="50"/>
      <c r="H77" s="72">
        <f t="shared" ref="H77:H111" si="2">E77*F77</f>
        <v>1.83</v>
      </c>
    </row>
    <row r="78" spans="1:9" ht="51">
      <c r="A78" s="188">
        <f t="shared" ref="A78:A111" si="3">A77+1</f>
        <v>67</v>
      </c>
      <c r="B78" s="189" t="s">
        <v>577</v>
      </c>
      <c r="C78" s="189" t="str">
        <f>hitung_F1!C563</f>
        <v xml:space="preserve">Persentase dana perguruan tinggi yang berasal dari mahasiswa (SPP dan sumbangan lainnya) </v>
      </c>
      <c r="D78" s="191" t="str">
        <f>hitung_F1!G563&amp;". "&amp;hitung_F1!G564</f>
        <v>Jumlah dana yg berasal dari mahasiswa = 30 juta, Jumlah dana total = 100 juta, sehingga persentase dana dr mhs = 30%. aaa</v>
      </c>
      <c r="E78" s="500">
        <v>1.23</v>
      </c>
      <c r="F78" s="194">
        <f>hitung_F1!E567</f>
        <v>4</v>
      </c>
      <c r="G78" s="50"/>
      <c r="H78" s="72">
        <f t="shared" si="2"/>
        <v>4.92</v>
      </c>
    </row>
    <row r="79" spans="1:9" ht="76.5">
      <c r="A79" s="188">
        <f t="shared" si="3"/>
        <v>68</v>
      </c>
      <c r="B79" s="189" t="s">
        <v>578</v>
      </c>
      <c r="C79" s="189" t="str">
        <f>hitung_F1!C569</f>
        <v>Penggunaan dana untuk operasional (pendidikan, penelitian, pengabdian pada masyarakat, termasuk gaji dan upah, dan investasi prasarana, sarana, dan SDM).</v>
      </c>
      <c r="D79" s="191" t="str">
        <f>hitung_F1!G569&amp;". "&amp;hitung_F1!G570</f>
        <v>Jumlah dana operasional/mahasiswa/tahun (=DOM) = 13 juta. aaa</v>
      </c>
      <c r="E79" s="500">
        <v>1.23</v>
      </c>
      <c r="F79" s="194">
        <f>hitung_F1!E571</f>
        <v>2.8888888888888888</v>
      </c>
      <c r="G79" s="50"/>
      <c r="H79" s="72">
        <f t="shared" si="2"/>
        <v>3.5533333333333332</v>
      </c>
    </row>
    <row r="80" spans="1:9" ht="25.5">
      <c r="A80" s="188">
        <f t="shared" si="3"/>
        <v>69</v>
      </c>
      <c r="B80" s="189" t="s">
        <v>579</v>
      </c>
      <c r="C80" s="189" t="str">
        <f>hitung_F1!C573</f>
        <v>Dana penelitian dalam tiga tahun terakhir.</v>
      </c>
      <c r="D80" s="191" t="str">
        <f>hitung_F1!G573&amp;". "&amp;hitung_F1!G574</f>
        <v>Rata-rata dana penelitian/dosen tetap/tahun =3 juta. aaa</v>
      </c>
      <c r="E80" s="500">
        <v>1.23</v>
      </c>
      <c r="F80" s="194">
        <f>hitung_F1!E575</f>
        <v>4</v>
      </c>
      <c r="G80" s="50"/>
      <c r="H80" s="72">
        <f t="shared" si="2"/>
        <v>4.92</v>
      </c>
    </row>
    <row r="81" spans="1:8" ht="51">
      <c r="A81" s="188">
        <f t="shared" si="3"/>
        <v>70</v>
      </c>
      <c r="B81" s="189" t="s">
        <v>580</v>
      </c>
      <c r="C81" s="189" t="str">
        <f>hitung_F1!C577</f>
        <v>Dana yang diperoleh dalam rangka pelayanan/pengabdian kepada masyarakat dalam tiga  tahun terakhir.</v>
      </c>
      <c r="D81" s="191" t="str">
        <f>hitung_F1!G577&amp;". "&amp;hitung_F1!G578</f>
        <v>Rata-rata dana pelayanan/pengabdian kepada masyarakat /dosen tetap/tahun = 1.5 juta. aaa</v>
      </c>
      <c r="E81" s="500">
        <v>0.61</v>
      </c>
      <c r="F81" s="194">
        <f>hitung_F1!E579</f>
        <v>4</v>
      </c>
      <c r="G81" s="50"/>
      <c r="H81" s="72">
        <f t="shared" si="2"/>
        <v>2.44</v>
      </c>
    </row>
    <row r="82" spans="1:8" ht="63.75">
      <c r="A82" s="188">
        <f t="shared" si="3"/>
        <v>71</v>
      </c>
      <c r="B82" s="189" t="s">
        <v>581</v>
      </c>
      <c r="C82" s="189" t="str">
        <f>hitung_F1!C581</f>
        <v>Sistem monitoring dan evaluasi pendanaan internal untuk pemanfaatan dana yang lebih efektif. transparan dan memenuhi aturan keuangan yang berlaku.</v>
      </c>
      <c r="D82" s="191" t="str">
        <f>hitung_F1!G581</f>
        <v>wsw</v>
      </c>
      <c r="E82" s="500">
        <v>0.61</v>
      </c>
      <c r="F82" s="194">
        <f>hitung_F1!E586</f>
        <v>3</v>
      </c>
      <c r="G82" s="50"/>
      <c r="H82" s="72">
        <f t="shared" si="2"/>
        <v>1.83</v>
      </c>
    </row>
    <row r="83" spans="1:8" ht="51">
      <c r="A83" s="188">
        <f t="shared" si="3"/>
        <v>72</v>
      </c>
      <c r="B83" s="189" t="s">
        <v>582</v>
      </c>
      <c r="C83" s="190" t="str">
        <f>hitung_F1!C588</f>
        <v>Laporan audit keuangan yang transparan dan dapat diakses oleh semua pemangku kepentingan.</v>
      </c>
      <c r="D83" s="191" t="str">
        <f>hitung_F1!G588</f>
        <v>rtrtt</v>
      </c>
      <c r="E83" s="500">
        <v>0.61</v>
      </c>
      <c r="F83" s="194">
        <f>hitung_F1!E594</f>
        <v>3</v>
      </c>
      <c r="G83" s="50"/>
      <c r="H83" s="72">
        <f t="shared" si="2"/>
        <v>1.83</v>
      </c>
    </row>
    <row r="84" spans="1:8" ht="140.25">
      <c r="A84" s="188">
        <f t="shared" si="3"/>
        <v>73</v>
      </c>
      <c r="B84" s="189" t="s">
        <v>51</v>
      </c>
      <c r="C84" s="189" t="str">
        <f>hitung_F1!C596</f>
        <v xml:space="preserve">Sistem pengelolaan prasarana dan sarana berupa kebijakan, peraturan, dan pedoman/ panduan untuk aspek-aspek: (1)  Pengembangan dan pencatatan, (2)  Penetapan penggunaan, (3)  Keamanan dan keselamatan penggunaan,
(4)  Pemeliharaan/ perbaikan/kebersihan.
</v>
      </c>
      <c r="D84" s="191" t="str">
        <f>hitung_F1!G596</f>
        <v>fdfd</v>
      </c>
      <c r="E84" s="500">
        <v>0.61</v>
      </c>
      <c r="F84" s="194">
        <f>hitung_F1!E601</f>
        <v>3</v>
      </c>
      <c r="G84" s="50"/>
      <c r="H84" s="72">
        <f t="shared" si="2"/>
        <v>1.83</v>
      </c>
    </row>
    <row r="85" spans="1:8" ht="25.5">
      <c r="A85" s="188">
        <f t="shared" si="3"/>
        <v>74</v>
      </c>
      <c r="B85" s="189" t="s">
        <v>52</v>
      </c>
      <c r="C85" s="189" t="str">
        <f>hitung_F1!C603</f>
        <v>Kepemilikan dan  penggunaan lahan.</v>
      </c>
      <c r="D85" s="191" t="str">
        <f>hitung_F1!G603</f>
        <v>fds</v>
      </c>
      <c r="E85" s="500">
        <v>1.23</v>
      </c>
      <c r="F85" s="194">
        <f>hitung_F1!E609</f>
        <v>4</v>
      </c>
      <c r="G85" s="50"/>
      <c r="H85" s="72">
        <f t="shared" si="2"/>
        <v>4.92</v>
      </c>
    </row>
    <row r="86" spans="1:8" ht="25.5">
      <c r="A86" s="188">
        <f t="shared" si="3"/>
        <v>75</v>
      </c>
      <c r="B86" s="189" t="s">
        <v>54</v>
      </c>
      <c r="C86" s="189" t="str">
        <f>hitung_F1!C611</f>
        <v>Kecukupan dan mutu prasarana yang dikelola perguruan tinggi.</v>
      </c>
      <c r="D86" s="191" t="str">
        <f>hitung_F1!G611</f>
        <v>bbbb</v>
      </c>
      <c r="E86" s="500">
        <v>2.46</v>
      </c>
      <c r="F86" s="194">
        <f>hitung_F1!E616</f>
        <v>3</v>
      </c>
      <c r="G86" s="50"/>
      <c r="H86" s="72">
        <f t="shared" si="2"/>
        <v>7.38</v>
      </c>
    </row>
    <row r="87" spans="1:8" ht="25.5">
      <c r="A87" s="188">
        <f t="shared" si="3"/>
        <v>76</v>
      </c>
      <c r="B87" s="189" t="s">
        <v>26</v>
      </c>
      <c r="C87" s="189" t="str">
        <f>hitung_F1!C618</f>
        <v>Rencana pengembangan prasarana.</v>
      </c>
      <c r="D87" s="191" t="str">
        <f>hitung_F1!G618</f>
        <v>dvd</v>
      </c>
      <c r="E87" s="500">
        <v>0.61</v>
      </c>
      <c r="F87" s="194">
        <f>hitung_F1!E624</f>
        <v>4</v>
      </c>
      <c r="G87" s="50"/>
      <c r="H87" s="72">
        <f t="shared" si="2"/>
        <v>2.44</v>
      </c>
    </row>
    <row r="88" spans="1:8" ht="114.75">
      <c r="A88" s="188">
        <f t="shared" si="3"/>
        <v>77</v>
      </c>
      <c r="B88" s="189" t="s">
        <v>583</v>
      </c>
      <c r="C88" s="191" t="str">
        <f>hitung_F1!C626</f>
        <v xml:space="preserve">Kecukupan koleksi perpustakaan, aksesibilitas termasuk ketersediaan dan kemudahan akses e-library.
Untuk setiap bahan pustaka berikut: A. Buku teks, B. Jurnal internasional, C. Jurnal nasional terakreditasi, D. Prosiding
</v>
      </c>
      <c r="D88" s="191" t="str">
        <f>hitung_F1!G626</f>
        <v>sdas</v>
      </c>
      <c r="E88" s="500">
        <v>1.23</v>
      </c>
      <c r="F88" s="194">
        <f>hitung_F1!E633</f>
        <v>3.85</v>
      </c>
      <c r="G88" s="50"/>
      <c r="H88" s="72">
        <f t="shared" si="2"/>
        <v>4.7355</v>
      </c>
    </row>
    <row r="89" spans="1:8" ht="114.75">
      <c r="A89" s="188">
        <f t="shared" si="3"/>
        <v>78</v>
      </c>
      <c r="B89" s="189" t="s">
        <v>584</v>
      </c>
      <c r="C89" s="189" t="str">
        <f>hitung_F1!C635</f>
        <v xml:space="preserve">Aksesibilitas dan pemanfaatan bahan pustaka, mencakup: (1) waktu  layanan, (2) mutu layanan (kemudahan mencari bahan pustaka, keleluasaan meminjam, bantuan mencarikan bahan pustaka dari perpustakaan lain)
(3) ketersediaan layanan e-library
</v>
      </c>
      <c r="D89" s="191" t="str">
        <f>hitung_F1!G635</f>
        <v>fds</v>
      </c>
      <c r="E89" s="500">
        <v>0.61</v>
      </c>
      <c r="F89" s="194">
        <f>hitung_F1!E641</f>
        <v>4</v>
      </c>
      <c r="G89" s="50"/>
      <c r="H89" s="72">
        <f t="shared" si="2"/>
        <v>2.44</v>
      </c>
    </row>
    <row r="90" spans="1:8" ht="102">
      <c r="A90" s="188">
        <f t="shared" si="3"/>
        <v>79</v>
      </c>
      <c r="B90" s="189" t="s">
        <v>585</v>
      </c>
      <c r="C90" s="189" t="str">
        <f>hitung_F1!C643</f>
        <v>Penyediaan prasarana dan sarana pembelajaran terpusat untuk mendukung interaksi akademik antara mahasiswa, dosen, pakar, dan nara sumber lainnya dalam kegiatan-kegiatan pembelajaran dan aksesibilitasnya.</v>
      </c>
      <c r="D90" s="191" t="str">
        <f>hitung_F1!G643</f>
        <v>asa</v>
      </c>
      <c r="E90" s="500">
        <v>1.23</v>
      </c>
      <c r="F90" s="194">
        <f>hitung_F1!E648</f>
        <v>3</v>
      </c>
      <c r="G90" s="50"/>
      <c r="H90" s="72">
        <f t="shared" si="2"/>
        <v>3.69</v>
      </c>
    </row>
    <row r="91" spans="1:8" ht="140.25">
      <c r="A91" s="188">
        <f t="shared" si="3"/>
        <v>80</v>
      </c>
      <c r="B91" s="189" t="s">
        <v>55</v>
      </c>
      <c r="C91" s="189" t="str">
        <f>hitung_F1!C650</f>
        <v>Sistem informasi dan fasilitas yang digunakan perguruan tinggi dalam  proses pembelajaran, meliputi (1) komputer yang terhubung dengan jaringan luas/internet, (2) software yang berlisensi dengan jumlah yang memadai. 
(3) fasilitas e-learning yang digunakan secara baik, (4) akses on-line ke koleksi perpustakaan.</v>
      </c>
      <c r="D91" s="191" t="str">
        <f>hitung_F1!G650</f>
        <v>jtyjyu</v>
      </c>
      <c r="E91" s="500">
        <v>0.61</v>
      </c>
      <c r="F91" s="194">
        <f>hitung_F1!E655</f>
        <v>3</v>
      </c>
      <c r="G91" s="50"/>
      <c r="H91" s="72">
        <f t="shared" si="2"/>
        <v>1.83</v>
      </c>
    </row>
    <row r="92" spans="1:8" ht="51">
      <c r="A92" s="188">
        <f t="shared" si="3"/>
        <v>81</v>
      </c>
      <c r="B92" s="189" t="s">
        <v>56</v>
      </c>
      <c r="C92" s="189" t="str">
        <f>hitung_F1!C657</f>
        <v>Sistem informasi dan fasilitas yang digunakan perguruan tinggi dalam administrasi (akademik dan umum).</v>
      </c>
      <c r="D92" s="191" t="str">
        <f>hitung_F1!G657</f>
        <v>thg</v>
      </c>
      <c r="E92" s="500">
        <v>0.31</v>
      </c>
      <c r="F92" s="194">
        <f>hitung_F1!E662</f>
        <v>2</v>
      </c>
      <c r="G92" s="50"/>
      <c r="H92" s="72">
        <f t="shared" si="2"/>
        <v>0.62</v>
      </c>
    </row>
    <row r="93" spans="1:8" ht="51">
      <c r="A93" s="188">
        <f t="shared" si="3"/>
        <v>82</v>
      </c>
      <c r="B93" s="189" t="s">
        <v>57</v>
      </c>
      <c r="C93" s="189" t="str">
        <f>hitung_F1!C664</f>
        <v>Sistem informasi untuk pengelolaan prasarana dan sarana yang transparan, akurat dan cepat.</v>
      </c>
      <c r="D93" s="191" t="str">
        <f>hitung_F1!G664</f>
        <v>rt</v>
      </c>
      <c r="E93" s="500">
        <v>0.31</v>
      </c>
      <c r="F93" s="194">
        <f>hitung_F1!E669</f>
        <v>3</v>
      </c>
      <c r="G93" s="50"/>
      <c r="H93" s="72">
        <f t="shared" si="2"/>
        <v>0.92999999999999994</v>
      </c>
    </row>
    <row r="94" spans="1:8" ht="51">
      <c r="A94" s="188">
        <f t="shared" si="3"/>
        <v>83</v>
      </c>
      <c r="B94" s="189" t="s">
        <v>27</v>
      </c>
      <c r="C94" s="189" t="str">
        <f>hitung_F1!C671</f>
        <v>Sistem pendukung pengambilan keputusan (decision support system) yang lengkap, efektif, dan obyektif.</v>
      </c>
      <c r="D94" s="191" t="str">
        <f>hitung_F1!G671</f>
        <v>bgfgbf</v>
      </c>
      <c r="E94" s="500">
        <v>0.31</v>
      </c>
      <c r="F94" s="194">
        <f>hitung_F1!E676</f>
        <v>4</v>
      </c>
      <c r="G94" s="50"/>
      <c r="H94" s="72">
        <f t="shared" si="2"/>
        <v>1.24</v>
      </c>
    </row>
    <row r="95" spans="1:8" ht="89.25">
      <c r="A95" s="188">
        <f t="shared" si="3"/>
        <v>84</v>
      </c>
      <c r="B95" s="189" t="s">
        <v>586</v>
      </c>
      <c r="C95" s="189" t="str">
        <f>hitung_F1!C678</f>
        <v>Manfaat sistem informasi untuk mahasiswa dan dosen serta akses terhadap sumber informasi, meliputi (1) Website institusi, (2) Fasilitas internet, (3) Jaringan lokal, (4) Jaringan nirkabel</v>
      </c>
      <c r="D95" s="191" t="str">
        <f>hitung_F1!G678</f>
        <v>sdfs</v>
      </c>
      <c r="E95" s="500">
        <v>0.31</v>
      </c>
      <c r="F95" s="194">
        <f>hitung_F1!E683</f>
        <v>3</v>
      </c>
      <c r="G95" s="50"/>
      <c r="H95" s="72">
        <f t="shared" si="2"/>
        <v>0.92999999999999994</v>
      </c>
    </row>
    <row r="96" spans="1:8" ht="51">
      <c r="A96" s="188">
        <f t="shared" si="3"/>
        <v>85</v>
      </c>
      <c r="B96" s="189" t="s">
        <v>587</v>
      </c>
      <c r="C96" s="190" t="str">
        <f>hitung_F1!C685</f>
        <v>Perguruan tinggi memiliki kapasitas internet dengan rasio bandwidth per mahasiswa yang memadai.</v>
      </c>
      <c r="D96" s="191" t="str">
        <f>hitung_F1!G685</f>
        <v>dcds</v>
      </c>
      <c r="E96" s="500">
        <v>0.31</v>
      </c>
      <c r="F96" s="194">
        <f>hitung_F1!E687</f>
        <v>4</v>
      </c>
      <c r="G96" s="50"/>
      <c r="H96" s="72">
        <f t="shared" si="2"/>
        <v>1.24</v>
      </c>
    </row>
    <row r="97" spans="1:9" ht="25.5">
      <c r="A97" s="188">
        <f t="shared" si="3"/>
        <v>86</v>
      </c>
      <c r="B97" s="189" t="s">
        <v>588</v>
      </c>
      <c r="C97" s="189" t="str">
        <f>hitung_F1!C689</f>
        <v>Aksesibilitas data dalam sistem informasi.</v>
      </c>
      <c r="D97" s="191" t="str">
        <f>hitung_F1!G689</f>
        <v>dfsd</v>
      </c>
      <c r="E97" s="500">
        <v>0.61</v>
      </c>
      <c r="F97" s="194">
        <f>hitung_F1!E695</f>
        <v>3.2307692307692308</v>
      </c>
      <c r="G97" s="50"/>
      <c r="H97" s="72">
        <f t="shared" si="2"/>
        <v>1.9707692307692308</v>
      </c>
    </row>
    <row r="98" spans="1:9" ht="114.75">
      <c r="A98" s="188">
        <f t="shared" si="3"/>
        <v>87</v>
      </c>
      <c r="B98" s="189" t="s">
        <v>589</v>
      </c>
      <c r="C98" s="190" t="str">
        <f>hitung_F1!C697</f>
        <v>Blue print pengembangan, pengelolaan, dan pemanfaatan sistem informasi yang lengkap, mencakup (1) prasarana dan sarana yang mencukupi, (2) unit pengelola di tingkat institusi, (3) sistem aliran data dan otorisasi akses data, (4) sistem disaster recovery.</v>
      </c>
      <c r="D98" s="191" t="str">
        <f>hitung_F1!G697</f>
        <v>wqw</v>
      </c>
      <c r="E98" s="500">
        <v>0.31</v>
      </c>
      <c r="F98" s="194">
        <f>hitung_F1!E702</f>
        <v>3</v>
      </c>
      <c r="G98" s="50"/>
      <c r="H98" s="72">
        <f t="shared" si="2"/>
        <v>0.92999999999999994</v>
      </c>
    </row>
    <row r="99" spans="1:9" ht="280.5">
      <c r="A99" s="188">
        <f t="shared" si="3"/>
        <v>88</v>
      </c>
      <c r="B99" s="189" t="s">
        <v>590</v>
      </c>
      <c r="C99" s="189" t="str">
        <f>hitung_F1!C704</f>
        <v xml:space="preserve">Pemilikan pedoman pengelolaan penelitian yang lengkap, dan  dikembangkan serta dipublikasikan oleh institusi. Mencakup aspek-aspek: (1) Kebijakan dasar penelitian  yang meliputi  antara lain: arah dan fokus, jenis dan rekam jejak penelitian unggulan, pola kerja sama dengan pihak luar, pendanaan, sistem kompetisi,
(2) Penanganan plagiasi, paten dan hak atas kekayaan intektual, (3) Rencana dan pelaksanaan penelitian yang mencakup agenda tahunan, (4) Peraturan pengusulan proposal penelitian dan pelaksanaannya
yang terdokumentasi dengan baik serta mudah diakses oleh oleh semua pihak.
</v>
      </c>
      <c r="D99" s="191" t="str">
        <f>hitung_F1!G704</f>
        <v>dsds</v>
      </c>
      <c r="E99" s="500">
        <v>0.94</v>
      </c>
      <c r="F99" s="194">
        <f>hitung_F1!E709</f>
        <v>4</v>
      </c>
      <c r="G99" s="50"/>
      <c r="H99" s="72">
        <f t="shared" si="2"/>
        <v>3.76</v>
      </c>
      <c r="I99" s="737">
        <f>SUM(H99:H112)</f>
        <v>35.784509803921566</v>
      </c>
    </row>
    <row r="100" spans="1:9" ht="76.5">
      <c r="A100" s="188">
        <f t="shared" si="3"/>
        <v>89</v>
      </c>
      <c r="B100" s="189" t="s">
        <v>59</v>
      </c>
      <c r="C100" s="189" t="str">
        <f>hitung_F1!C711</f>
        <v>Jumlah penelitian dosen tetap selama tiga tahun terakhir.</v>
      </c>
      <c r="D100" s="191" t="str">
        <f>hitung_F1!G711&amp;". "&amp;hitung_F1!G712</f>
        <v>Jumlah penelitian dengan biaya dari PT atau dosen = 48; Jumlah penelitian dengan biaya luar = 4; jumlah penelitian dengan biaya luar negeri = 0 Jumlah dosen tetap perguruan tinggi = 51 sehingga nilai kasar =1.1. sss</v>
      </c>
      <c r="E100" s="500">
        <v>0.94</v>
      </c>
      <c r="F100" s="194">
        <f>hitung_F1!E717</f>
        <v>2.6470588235294121</v>
      </c>
      <c r="G100" s="50"/>
      <c r="H100" s="72">
        <f t="shared" si="2"/>
        <v>2.4882352941176471</v>
      </c>
    </row>
    <row r="101" spans="1:9" ht="127.5">
      <c r="A101" s="188">
        <f t="shared" si="3"/>
        <v>90</v>
      </c>
      <c r="B101" s="189" t="s">
        <v>60</v>
      </c>
      <c r="C101" s="189" t="str">
        <f>hitung_F1!C719</f>
        <v xml:space="preserve">Jumlah artikel ilmiah yang dihasilkan oleh dosen tetap dalam tiga tahun terakhir. </v>
      </c>
      <c r="D101" s="191" t="str">
        <f>hitung_F1!G719&amp;". "&amp;hitung_F1!G725</f>
        <v>Jurnal ilmiah terakreditasi DIKTI = 0, Jurnal ilmiah internasional = 3, Buku tingkat nasional = 14, Buku tingkat internasional = 0, Karya seni tingkat nasional = 0, Karya seni tingkat internasional = 0, Karya sastra tingkat nasional = 0, Karya sastra tingkat internasional = 0, Jumlah dosen tetap perguruan tinggi = 51, sehingga nilai kasar = 0.39. sss</v>
      </c>
      <c r="E101" s="500">
        <v>0.94</v>
      </c>
      <c r="F101" s="194">
        <f>hitung_F1!E730</f>
        <v>1.5686274509803921</v>
      </c>
      <c r="G101" s="50"/>
      <c r="H101" s="72">
        <f t="shared" si="2"/>
        <v>1.4745098039215685</v>
      </c>
    </row>
    <row r="102" spans="1:9" ht="63.75">
      <c r="A102" s="188">
        <f t="shared" si="3"/>
        <v>91</v>
      </c>
      <c r="B102" s="189" t="s">
        <v>61</v>
      </c>
      <c r="C102" s="189" t="str">
        <f>hitung_F1!C732</f>
        <v>Banyaknya artikel yang tercatat dalam lembaga sitasi.</v>
      </c>
      <c r="D102" s="191" t="str">
        <f>hitung_F1!G732&amp;". "&amp;hitung_F1!G733</f>
        <v>Banyaknya artikel ilmiah karya dosen tetap dalam tiga tahun terakhir yang disitasi = 0; jumlah dosen tetap perguruan tinggi = 51; sehingga nilai kasar =0. sss</v>
      </c>
      <c r="E102" s="500">
        <v>0.94</v>
      </c>
      <c r="F102" s="194">
        <f>hitung_F1!E736</f>
        <v>2</v>
      </c>
      <c r="G102" s="50"/>
      <c r="H102" s="72">
        <f t="shared" si="2"/>
        <v>1.88</v>
      </c>
    </row>
    <row r="103" spans="1:9" ht="76.5">
      <c r="A103" s="188">
        <f t="shared" si="3"/>
        <v>92</v>
      </c>
      <c r="B103" s="189" t="s">
        <v>591</v>
      </c>
      <c r="C103" s="189" t="str">
        <f>hitung_F1!C738</f>
        <v>Karya dosen dan atau mahasiswa yang berupa paten/hak atas kekayaan intelektual (HaKI)/karya yang mendapatkan penghargaan tingkat nasional/internasional.</v>
      </c>
      <c r="D103" s="191" t="str">
        <f>hitung_F1!G738&amp;". "&amp;hitung_F1!G739</f>
        <v>Jumlah karya yang memperoleh paten = 0; Jumlah karya yang memperoleh HAKI =0; jumlah karya yang memperoleh penghargaan dari lembaga nasional atau internasional =0; Jumlah program studi = 3 sehingga nilai kasar =0. sss</v>
      </c>
      <c r="E103" s="500">
        <v>0.94</v>
      </c>
      <c r="F103" s="194">
        <f>hitung_F1!E744</f>
        <v>2</v>
      </c>
      <c r="G103" s="50"/>
      <c r="H103" s="72">
        <f t="shared" si="2"/>
        <v>1.88</v>
      </c>
    </row>
    <row r="104" spans="1:9" ht="242.25">
      <c r="A104" s="188">
        <f t="shared" si="3"/>
        <v>93</v>
      </c>
      <c r="B104" s="189" t="s">
        <v>28</v>
      </c>
      <c r="C104" s="189" t="str">
        <f>hitung_F1!C746</f>
        <v xml:space="preserve">Kebijakan dan upaya perguruan tinggi dalam menjamin keberlanjutan penelitian. PT mewajibkan dan mengupayakan semua unit memenuhi aspek berikut:
(1) Memiliki agenda penelitian jangka panjang.
(2) Tersedianya SDM, prasarana dan sarana yang memungkinkan terlaksananya penelitian secara berkelanjutan.
(3) Mengembangkan dan membina jejaring penelitian.
(4) Mencari berbagai sumber dana penelitian seperti hibah penelitian nasional maupun internasional.
</v>
      </c>
      <c r="D104" s="191" t="str">
        <f>hitung_F1!G746</f>
        <v>ew</v>
      </c>
      <c r="E104" s="500">
        <v>0.94</v>
      </c>
      <c r="F104" s="194">
        <f>hitung_F1!E751</f>
        <v>1</v>
      </c>
      <c r="G104" s="50"/>
      <c r="H104" s="72">
        <f t="shared" si="2"/>
        <v>0.94</v>
      </c>
    </row>
    <row r="105" spans="1:9" ht="140.25">
      <c r="A105" s="188">
        <f t="shared" si="3"/>
        <v>94</v>
      </c>
      <c r="B105" s="189" t="s">
        <v>62</v>
      </c>
      <c r="C105" s="189" t="str">
        <f>hitung_F1!C753</f>
        <v>Pemilikan pedoman pengelolaan pelayanan/ pengabdian kepada masyarakat yang lengkap, dan  dikembangkan serta dipublikasikan oleh institusi.  Mencakup aspek: Aspek yang dicakup: (1) Arah dan fokus kegiatan PkM, (2) Jenis dan rekam jejak kegiatan PkM, (3) Pola kerja sama dengan pihak luar, dan (4) Pendanaan.</v>
      </c>
      <c r="D105" s="191" t="str">
        <f>hitung_F1!G753</f>
        <v>dfs</v>
      </c>
      <c r="E105" s="500">
        <v>0.94</v>
      </c>
      <c r="F105" s="194">
        <f>hitung_F1!E758</f>
        <v>1</v>
      </c>
      <c r="G105" s="50"/>
      <c r="H105" s="72">
        <f t="shared" si="2"/>
        <v>0.94</v>
      </c>
    </row>
    <row r="106" spans="1:9" ht="76.5">
      <c r="A106" s="188">
        <f t="shared" si="3"/>
        <v>95</v>
      </c>
      <c r="B106" s="189" t="s">
        <v>63</v>
      </c>
      <c r="C106" s="189" t="str">
        <f>hitung_F1!C760</f>
        <v>Jumlah kegiatan PkM dosen tetap selama tiga tahun terakhir.</v>
      </c>
      <c r="D106" s="191" t="str">
        <f>hitung_F1!G760&amp;". "&amp;hitung_F1!G761</f>
        <v>Jumlah PkM dengan biaya luar negeri =  0, Jumlah PkM dengan biaya luar = 0, Jumlah PkM dengan biaya dari PT atau dosen = 40,  jumlah dosen tetap perguruan tinggi = 51, sehingga nilai kasar = 0.78. sss</v>
      </c>
      <c r="E106" s="500">
        <v>0.94</v>
      </c>
      <c r="F106" s="194">
        <f>hitung_F1!E766</f>
        <v>3.3529411764705883</v>
      </c>
      <c r="G106" s="50"/>
      <c r="H106" s="72">
        <f t="shared" si="2"/>
        <v>3.151764705882353</v>
      </c>
    </row>
    <row r="107" spans="1:9" ht="216.75">
      <c r="A107" s="188">
        <f t="shared" si="3"/>
        <v>96</v>
      </c>
      <c r="B107" s="189" t="s">
        <v>592</v>
      </c>
      <c r="C107" s="189" t="str">
        <f>hitung_F1!C768</f>
        <v xml:space="preserve">Kebijakan dan upaya perguruan tinggi dalam menjamin keberlanjutan kegiatan PkM. 
PT mewajibkan dan mengupayakan semua unit memenuhi aspek berikut:
(1) Memiliki agenda PkM  jangka panjang.
(2) Tersedianya SDM, prasarana dan sarana yang memungkinkan terlaksananya PkM secara berkelanjutan.
(3) Mengembangkan dan membina jejaring PkM.
(4) Mencari berbagai sumber dana PkM.
</v>
      </c>
      <c r="D107" s="191" t="str">
        <f>hitung_F1!G768</f>
        <v>dsa</v>
      </c>
      <c r="E107" s="500">
        <v>0.94</v>
      </c>
      <c r="F107" s="194">
        <f>hitung_F1!E773</f>
        <v>4</v>
      </c>
      <c r="G107" s="50"/>
      <c r="H107" s="72">
        <f t="shared" si="2"/>
        <v>3.76</v>
      </c>
    </row>
    <row r="108" spans="1:9" ht="140.25">
      <c r="A108" s="188">
        <f t="shared" si="3"/>
        <v>97</v>
      </c>
      <c r="B108" s="189" t="s">
        <v>64</v>
      </c>
      <c r="C108" s="189" t="str">
        <f>hitung_F1!C775</f>
        <v xml:space="preserve">Kebijakan, pengelolaan, dan monev oleh perguruan tinggi dalam kegiatan kerjasama untuk menjamin empat aspek berikut:
(1) mutu kegiatan kerjasama,
(2) relevansi kegiatan kerjasama,
(3) produktivitas kegiatan kerjasama, 
(4) keberlanjutan kegiatan kerjasama.
</v>
      </c>
      <c r="D108" s="191" t="str">
        <f>hitung_F1!G775</f>
        <v>hyu</v>
      </c>
      <c r="E108" s="500">
        <v>0.94</v>
      </c>
      <c r="F108" s="194">
        <f>hitung_F1!E780</f>
        <v>4</v>
      </c>
      <c r="G108" s="50"/>
      <c r="H108" s="72">
        <f t="shared" si="2"/>
        <v>3.76</v>
      </c>
    </row>
    <row r="109" spans="1:9" ht="102">
      <c r="A109" s="188">
        <f t="shared" si="3"/>
        <v>98</v>
      </c>
      <c r="B109" s="189" t="s">
        <v>65</v>
      </c>
      <c r="C109" s="191" t="str">
        <f>hitung_F1!C782</f>
        <v xml:space="preserve">Kegiatan kerjasama dengan instansi di dalam negeri dalam tiga tahun terakhir. 
Catatan: Tingkat kecukupan bergantung pada jumlah dosen tetap pada unit pengelola program studi doktor.
</v>
      </c>
      <c r="D109" s="191" t="str">
        <f>hitung_F1!G782</f>
        <v>edew</v>
      </c>
      <c r="E109" s="500">
        <v>0.94</v>
      </c>
      <c r="F109" s="194">
        <f>hitung_F1!E788</f>
        <v>4</v>
      </c>
      <c r="G109" s="50"/>
      <c r="H109" s="72">
        <f t="shared" si="2"/>
        <v>3.76</v>
      </c>
    </row>
    <row r="110" spans="1:9" ht="102">
      <c r="A110" s="188">
        <f t="shared" si="3"/>
        <v>99</v>
      </c>
      <c r="B110" s="189" t="s">
        <v>35</v>
      </c>
      <c r="C110" s="189" t="str">
        <f>hitung_F1!C790</f>
        <v xml:space="preserve">Kegiatan kerjasama dengan instansi di luar negeri dalam tiga tahun terakhir.
Catatan: Tingkat kecukupan bergantung pada jumlah dosen tetap  pada unit pengelola program studi doktor.
</v>
      </c>
      <c r="D110" s="191" t="str">
        <f>hitung_F1!G790</f>
        <v>sdfd</v>
      </c>
      <c r="E110" s="500">
        <v>0.94</v>
      </c>
      <c r="F110" s="194">
        <f>hitung_F1!E796</f>
        <v>3</v>
      </c>
      <c r="G110" s="50"/>
      <c r="H110" s="72">
        <f t="shared" si="2"/>
        <v>2.82</v>
      </c>
    </row>
    <row r="111" spans="1:9" ht="39" thickBot="1">
      <c r="A111" s="433">
        <f t="shared" si="3"/>
        <v>100</v>
      </c>
      <c r="B111" s="434" t="s">
        <v>593</v>
      </c>
      <c r="C111" s="434" t="str">
        <f>hitung_F1!C798</f>
        <v>Monitoring dan evaluasi pelaksanaan dan hasil kerja sama secara berkala.</v>
      </c>
      <c r="D111" s="435" t="str">
        <f>hitung_F1!G798</f>
        <v>dsfd</v>
      </c>
      <c r="E111" s="500">
        <v>0.94</v>
      </c>
      <c r="F111" s="436">
        <f>hitung_F1!E803</f>
        <v>2.5</v>
      </c>
      <c r="G111" s="50"/>
      <c r="H111" s="72">
        <f t="shared" si="2"/>
        <v>2.3499999999999996</v>
      </c>
    </row>
    <row r="112" spans="1:9" s="432" customFormat="1" ht="26.25" thickBot="1">
      <c r="A112" s="475">
        <v>101</v>
      </c>
      <c r="B112" s="547" t="s">
        <v>575</v>
      </c>
      <c r="C112" s="503" t="str">
        <f>hitung_F1!C805</f>
        <v>Manfaat dan kepuasan mitra kerja sama.</v>
      </c>
      <c r="D112" s="683" t="str">
        <f>hitung_F1!G805</f>
        <v>dsfd</v>
      </c>
      <c r="E112" s="548">
        <v>0.94</v>
      </c>
      <c r="F112" s="549">
        <f>hitung_F1!E810</f>
        <v>3</v>
      </c>
      <c r="G112" s="504"/>
      <c r="H112" s="550">
        <f>E112*F112</f>
        <v>2.82</v>
      </c>
    </row>
    <row r="113" spans="1:8" ht="15.75">
      <c r="A113" s="67"/>
      <c r="B113" s="64"/>
      <c r="C113" s="681"/>
      <c r="D113" s="681"/>
      <c r="E113" s="66"/>
      <c r="F113" s="66"/>
      <c r="G113" s="61"/>
      <c r="H113" s="61"/>
    </row>
    <row r="114" spans="1:8" ht="15.75">
      <c r="A114" s="64"/>
      <c r="B114" s="64"/>
      <c r="C114" s="681"/>
      <c r="D114" s="684" t="s">
        <v>1061</v>
      </c>
      <c r="E114" s="66"/>
      <c r="F114" s="66"/>
      <c r="G114" s="61"/>
      <c r="H114" s="61"/>
    </row>
    <row r="115" spans="1:8" ht="15.75">
      <c r="A115" s="67"/>
      <c r="B115" s="64"/>
      <c r="C115" s="681"/>
      <c r="D115" s="55"/>
      <c r="E115" s="66"/>
      <c r="F115" s="66"/>
      <c r="G115" s="61"/>
      <c r="H115" s="61"/>
    </row>
    <row r="116" spans="1:8" ht="15.75">
      <c r="A116" s="67"/>
      <c r="B116" s="64"/>
      <c r="C116" s="681"/>
      <c r="D116" s="777" t="str">
        <f>"Nama Asesor : "&amp;D6</f>
        <v>Nama Asesor : Nama Asesor</v>
      </c>
      <c r="E116" s="668"/>
      <c r="F116" s="668"/>
      <c r="G116" s="668"/>
      <c r="H116" s="668"/>
    </row>
    <row r="117" spans="1:8">
      <c r="A117" s="70"/>
      <c r="B117" s="70"/>
      <c r="C117" s="681"/>
      <c r="D117" s="778"/>
      <c r="E117" s="66"/>
      <c r="F117" s="66"/>
      <c r="G117" s="61"/>
      <c r="H117" s="61"/>
    </row>
    <row r="118" spans="1:8">
      <c r="A118" s="70"/>
      <c r="B118" s="70"/>
      <c r="C118" s="681"/>
      <c r="D118" s="778"/>
      <c r="E118" s="66"/>
      <c r="F118" s="66"/>
      <c r="G118" s="61"/>
      <c r="H118" s="61"/>
    </row>
    <row r="119" spans="1:8" ht="17.25" customHeight="1">
      <c r="A119" s="70"/>
      <c r="B119" s="70"/>
      <c r="C119" s="681"/>
      <c r="D119" s="779" t="s">
        <v>878</v>
      </c>
      <c r="E119" s="668"/>
      <c r="F119" s="668"/>
      <c r="G119" s="668"/>
      <c r="H119" s="61"/>
    </row>
    <row r="120" spans="1:8">
      <c r="A120" s="70"/>
      <c r="B120" s="70"/>
      <c r="C120" s="681"/>
      <c r="D120" s="780"/>
      <c r="E120" s="66"/>
      <c r="F120" s="66"/>
      <c r="G120" s="61"/>
      <c r="H120" s="61"/>
    </row>
    <row r="121" spans="1:8">
      <c r="A121" s="631"/>
      <c r="B121" s="631"/>
      <c r="C121" s="631"/>
      <c r="D121" s="681"/>
      <c r="E121" s="66"/>
      <c r="F121" s="66"/>
    </row>
    <row r="122" spans="1:8" ht="17.25" customHeight="1">
      <c r="A122" s="631"/>
      <c r="B122" s="631"/>
      <c r="C122" s="631"/>
      <c r="D122" s="668"/>
      <c r="E122" s="66"/>
      <c r="F122" s="66"/>
    </row>
    <row r="123" spans="1:8">
      <c r="A123" s="631"/>
      <c r="B123" s="631"/>
      <c r="C123" s="631"/>
      <c r="D123" s="668"/>
      <c r="E123" s="66"/>
      <c r="F123" s="66"/>
    </row>
    <row r="124" spans="1:8">
      <c r="A124" s="64"/>
      <c r="B124" s="64"/>
      <c r="C124" s="681"/>
      <c r="D124" s="681"/>
      <c r="E124" s="66"/>
      <c r="F124" s="66"/>
    </row>
    <row r="125" spans="1:8">
      <c r="A125" s="64"/>
      <c r="B125" s="64"/>
      <c r="C125" s="681"/>
      <c r="D125" s="681"/>
      <c r="E125" s="66"/>
      <c r="F125" s="66"/>
    </row>
    <row r="126" spans="1:8">
      <c r="A126" s="64"/>
      <c r="B126" s="64"/>
      <c r="C126" s="681"/>
      <c r="D126" s="681"/>
      <c r="E126" s="66"/>
      <c r="F126" s="66"/>
    </row>
    <row r="127" spans="1:8">
      <c r="A127" s="64"/>
      <c r="B127" s="64"/>
      <c r="C127" s="681"/>
      <c r="D127" s="681"/>
      <c r="E127" s="66"/>
      <c r="F127" s="66"/>
    </row>
    <row r="128" spans="1:8">
      <c r="A128" s="64"/>
      <c r="B128" s="64"/>
      <c r="C128" s="681"/>
      <c r="D128" s="681"/>
      <c r="E128" s="66"/>
      <c r="F128" s="66"/>
    </row>
    <row r="129" spans="1:6">
      <c r="A129" s="64"/>
      <c r="B129" s="64"/>
      <c r="C129" s="681"/>
      <c r="D129" s="681"/>
      <c r="E129" s="66"/>
      <c r="F129" s="66"/>
    </row>
    <row r="130" spans="1:6" ht="27.75" customHeight="1">
      <c r="A130" s="64"/>
      <c r="B130" s="64"/>
      <c r="C130" s="681"/>
      <c r="D130" s="681"/>
      <c r="E130" s="66"/>
      <c r="F130" s="66"/>
    </row>
    <row r="139" spans="1:6" ht="11.25" customHeight="1"/>
    <row r="145" spans="5:5" ht="20.25" customHeight="1"/>
    <row r="147" spans="5:5" ht="11.25" customHeight="1"/>
    <row r="151" spans="5:5" ht="11.25" customHeight="1"/>
    <row r="159" spans="5:5" ht="15" customHeight="1">
      <c r="E159" s="788"/>
    </row>
    <row r="160" spans="5:5">
      <c r="E160" s="788"/>
    </row>
    <row r="161" spans="5:5">
      <c r="E161" s="788"/>
    </row>
    <row r="162" spans="5:5" ht="15" customHeight="1">
      <c r="E162" s="788"/>
    </row>
    <row r="163" spans="5:5">
      <c r="E163" s="788"/>
    </row>
    <row r="164" spans="5:5">
      <c r="E164" s="788"/>
    </row>
  </sheetData>
  <sheetProtection sheet="1" objects="1" scenarios="1" formatColumns="0" formatRows="0" selectLockedCells="1"/>
  <mergeCells count="10">
    <mergeCell ref="A1:F1"/>
    <mergeCell ref="A3:F3"/>
    <mergeCell ref="D5:F5"/>
    <mergeCell ref="D6:F6"/>
    <mergeCell ref="E162:E164"/>
    <mergeCell ref="A5:C5"/>
    <mergeCell ref="A6:C6"/>
    <mergeCell ref="A8:C8"/>
    <mergeCell ref="E159:E161"/>
    <mergeCell ref="A7:C7"/>
  </mergeCells>
  <phoneticPr fontId="35" type="noConversion"/>
  <pageMargins left="0.7" right="0.7" top="0.75" bottom="0.75" header="0.3" footer="0.3"/>
  <pageSetup orientation="portrait" r:id="rId1"/>
  <headerFooter>
    <oddFooter>&amp;LFormat 1 - &amp;D@&amp;T&amp;CAIPT&amp;R&amp;P/&amp;N</oddFooter>
  </headerFooter>
  <drawing r:id="rId2"/>
</worksheet>
</file>

<file path=xl/worksheets/sheet3.xml><?xml version="1.0" encoding="utf-8"?>
<worksheet xmlns="http://schemas.openxmlformats.org/spreadsheetml/2006/main" xmlns:r="http://schemas.openxmlformats.org/officeDocument/2006/relationships">
  <sheetPr codeName="Sheet2"/>
  <dimension ref="A1:Q818"/>
  <sheetViews>
    <sheetView tabSelected="1" topLeftCell="A802" workbookViewId="0">
      <selection activeCell="E763" sqref="E763"/>
    </sheetView>
  </sheetViews>
  <sheetFormatPr defaultRowHeight="15"/>
  <cols>
    <col min="1" max="1" width="5.42578125" style="3" customWidth="1"/>
    <col min="2" max="2" width="8" style="3" customWidth="1"/>
    <col min="3" max="3" width="5.140625" customWidth="1"/>
    <col min="4" max="4" width="58.7109375" customWidth="1"/>
    <col min="5" max="5" width="7.85546875" customWidth="1"/>
    <col min="6" max="6" width="8.5703125" bestFit="1" customWidth="1"/>
    <col min="7" max="7" width="16.85546875" style="3" customWidth="1"/>
    <col min="8" max="8" width="11" style="3" customWidth="1"/>
    <col min="9" max="9" width="20" customWidth="1"/>
    <col min="10" max="10" width="40.85546875" customWidth="1"/>
    <col min="12" max="12" width="12" customWidth="1"/>
    <col min="13" max="15" width="9.140625" style="10"/>
    <col min="16" max="16" width="10" style="10" bestFit="1" customWidth="1"/>
    <col min="17" max="17" width="9.140625" style="10"/>
  </cols>
  <sheetData>
    <row r="1" spans="1:14" ht="23.25" customHeight="1">
      <c r="A1" s="906" t="s">
        <v>146</v>
      </c>
      <c r="B1" s="906"/>
      <c r="C1" s="906"/>
      <c r="D1" s="906"/>
      <c r="E1" s="906"/>
      <c r="F1" s="906"/>
      <c r="G1" s="906"/>
      <c r="H1" s="906"/>
      <c r="I1" s="906"/>
      <c r="J1" s="181"/>
      <c r="K1" s="50"/>
      <c r="L1" s="50"/>
    </row>
    <row r="2" spans="1:14" ht="24" customHeight="1" thickBot="1">
      <c r="A2" s="907" t="s">
        <v>127</v>
      </c>
      <c r="B2" s="907"/>
      <c r="C2" s="907"/>
      <c r="D2" s="907"/>
      <c r="E2" s="907"/>
      <c r="F2" s="907"/>
      <c r="G2" s="907"/>
      <c r="H2" s="907"/>
      <c r="I2" s="907"/>
      <c r="J2" s="181"/>
      <c r="K2" s="50"/>
      <c r="L2" s="50"/>
      <c r="N2" s="41"/>
    </row>
    <row r="3" spans="1:14" ht="50.25" customHeight="1" thickBot="1">
      <c r="A3" s="218" t="s">
        <v>131</v>
      </c>
      <c r="B3" s="219" t="s">
        <v>132</v>
      </c>
      <c r="C3" s="954" t="s">
        <v>9</v>
      </c>
      <c r="D3" s="954"/>
      <c r="E3" s="220" t="s">
        <v>10</v>
      </c>
      <c r="F3" s="172"/>
      <c r="G3" s="946" t="s">
        <v>145</v>
      </c>
      <c r="H3" s="947"/>
      <c r="I3" s="948"/>
      <c r="J3" s="50"/>
      <c r="K3" s="51"/>
      <c r="L3" s="50"/>
      <c r="N3" s="41"/>
    </row>
    <row r="4" spans="1:14" ht="29.25" customHeight="1" thickBot="1">
      <c r="A4" s="139">
        <v>1</v>
      </c>
      <c r="B4" s="163">
        <v>1.1000000000000001</v>
      </c>
      <c r="C4" s="831" t="s">
        <v>144</v>
      </c>
      <c r="D4" s="832"/>
      <c r="E4" s="131"/>
      <c r="F4" s="50"/>
      <c r="G4" s="951" t="s">
        <v>122</v>
      </c>
      <c r="H4" s="952"/>
      <c r="I4" s="953"/>
      <c r="J4" s="50"/>
      <c r="K4" s="51"/>
      <c r="L4" s="50"/>
      <c r="N4" s="41"/>
    </row>
    <row r="5" spans="1:14" ht="16.5" customHeight="1">
      <c r="A5" s="139"/>
      <c r="B5" s="163"/>
      <c r="C5" s="949" t="s">
        <v>123</v>
      </c>
      <c r="D5" s="950"/>
      <c r="E5" s="177">
        <v>2.5</v>
      </c>
      <c r="F5" s="50" t="str">
        <f>IF(OR(E5&lt;1,E5&gt;4),"Salah Isi","")</f>
        <v/>
      </c>
      <c r="G5" s="529"/>
      <c r="H5" s="529"/>
      <c r="I5" s="529"/>
      <c r="J5" s="50"/>
      <c r="K5" s="51"/>
      <c r="L5" s="50"/>
      <c r="N5" s="41"/>
    </row>
    <row r="6" spans="1:14" ht="16.5" customHeight="1">
      <c r="A6" s="139"/>
      <c r="B6" s="163"/>
      <c r="C6" s="949" t="s">
        <v>124</v>
      </c>
      <c r="D6" s="950"/>
      <c r="E6" s="177">
        <v>2.5</v>
      </c>
      <c r="F6" s="50" t="str">
        <f>IF(OR(E6&lt;1,E6&gt;4),"Salah Isi","")</f>
        <v/>
      </c>
      <c r="G6" s="529"/>
      <c r="H6" s="529"/>
      <c r="I6" s="529"/>
      <c r="J6" s="50"/>
      <c r="K6" s="51"/>
      <c r="L6" s="50"/>
      <c r="N6" s="41"/>
    </row>
    <row r="7" spans="1:14" ht="16.5" customHeight="1">
      <c r="A7" s="139"/>
      <c r="B7" s="163"/>
      <c r="C7" s="949" t="s">
        <v>125</v>
      </c>
      <c r="D7" s="950"/>
      <c r="E7" s="177">
        <v>2.5</v>
      </c>
      <c r="F7" s="50" t="str">
        <f>IF(OR(E7&lt;1,E7&gt;4),"Salah Isi","")</f>
        <v/>
      </c>
      <c r="G7" s="86"/>
      <c r="H7" s="53"/>
      <c r="I7" s="50"/>
      <c r="J7" s="50"/>
      <c r="K7" s="51"/>
      <c r="L7" s="50"/>
      <c r="N7" s="41"/>
    </row>
    <row r="8" spans="1:14" ht="16.5" customHeight="1">
      <c r="A8" s="139"/>
      <c r="B8" s="163"/>
      <c r="C8" s="949" t="s">
        <v>126</v>
      </c>
      <c r="D8" s="950"/>
      <c r="E8" s="177">
        <v>2</v>
      </c>
      <c r="F8" s="50" t="str">
        <f>IF(OR(E8&lt;1,E8&gt;4),"Salah Isi","")</f>
        <v/>
      </c>
      <c r="G8" s="86"/>
      <c r="H8" s="53"/>
      <c r="I8" s="50"/>
      <c r="J8" s="50"/>
      <c r="K8" s="51"/>
      <c r="L8" s="50"/>
      <c r="N8" s="41"/>
    </row>
    <row r="9" spans="1:14" ht="16.5" customHeight="1">
      <c r="A9" s="139"/>
      <c r="B9" s="163"/>
      <c r="C9" s="943" t="s">
        <v>36</v>
      </c>
      <c r="D9" s="920"/>
      <c r="E9" s="216">
        <f>SUM(E5:E8)/4</f>
        <v>2.375</v>
      </c>
      <c r="F9" s="50"/>
      <c r="G9" s="86"/>
      <c r="H9" s="53"/>
      <c r="I9" s="50"/>
      <c r="J9" s="50"/>
      <c r="K9" s="51"/>
      <c r="L9" s="50"/>
      <c r="N9" s="41"/>
    </row>
    <row r="10" spans="1:14" ht="19.5" thickBot="1">
      <c r="A10" s="140"/>
      <c r="B10" s="140"/>
      <c r="C10" s="833" t="s">
        <v>90</v>
      </c>
      <c r="D10" s="834"/>
      <c r="E10" s="217">
        <f>E9</f>
        <v>2.375</v>
      </c>
      <c r="F10" s="50"/>
      <c r="G10" s="81"/>
      <c r="H10" s="53"/>
      <c r="I10" s="50"/>
      <c r="J10" s="50"/>
      <c r="K10" s="51"/>
      <c r="L10" s="50"/>
      <c r="N10" s="41"/>
    </row>
    <row r="11" spans="1:14" ht="19.5" thickBot="1">
      <c r="A11" s="140"/>
      <c r="B11" s="140"/>
      <c r="C11" s="88"/>
      <c r="D11" s="88"/>
      <c r="E11" s="50"/>
      <c r="F11" s="50"/>
      <c r="G11" s="81"/>
      <c r="H11" s="53"/>
      <c r="I11" s="50"/>
      <c r="J11" s="50"/>
      <c r="K11" s="51"/>
      <c r="L11" s="50"/>
      <c r="N11" s="41"/>
    </row>
    <row r="12" spans="1:14" ht="38.25" customHeight="1" thickBot="1">
      <c r="A12" s="139">
        <v>2</v>
      </c>
      <c r="B12" s="141">
        <v>1.2</v>
      </c>
      <c r="C12" s="839" t="s">
        <v>147</v>
      </c>
      <c r="D12" s="840"/>
      <c r="E12" s="131"/>
      <c r="F12" s="50"/>
      <c r="G12" s="822" t="s">
        <v>162</v>
      </c>
      <c r="H12" s="823"/>
      <c r="I12" s="824"/>
      <c r="J12" s="50"/>
      <c r="K12" s="51"/>
      <c r="L12" s="50"/>
      <c r="N12" s="41"/>
    </row>
    <row r="13" spans="1:14" ht="17.25" customHeight="1">
      <c r="A13" s="139"/>
      <c r="B13" s="141"/>
      <c r="C13" s="829" t="s">
        <v>149</v>
      </c>
      <c r="D13" s="911"/>
      <c r="E13" s="178">
        <v>1.5</v>
      </c>
      <c r="F13" s="50" t="str">
        <f>IF(OR(E13&lt;1,E13&gt;4),"Salah Isi","")</f>
        <v/>
      </c>
      <c r="G13" s="641"/>
      <c r="H13" s="641"/>
      <c r="I13" s="641"/>
      <c r="J13" s="50"/>
      <c r="K13" s="51"/>
      <c r="L13" s="50"/>
      <c r="N13" s="41"/>
    </row>
    <row r="14" spans="1:14" ht="17.25" customHeight="1">
      <c r="A14" s="139"/>
      <c r="B14" s="141"/>
      <c r="C14" s="829" t="s">
        <v>148</v>
      </c>
      <c r="D14" s="911"/>
      <c r="E14" s="177">
        <v>1</v>
      </c>
      <c r="F14" s="50" t="str">
        <f>IF(OR(E14&lt;1,E14&gt;4),"Salah Isi","")</f>
        <v/>
      </c>
      <c r="G14" s="641"/>
      <c r="H14" s="641"/>
      <c r="I14" s="641"/>
      <c r="J14" s="50"/>
      <c r="K14" s="51"/>
      <c r="L14" s="50"/>
      <c r="N14" s="41"/>
    </row>
    <row r="15" spans="1:14" ht="17.25" customHeight="1">
      <c r="A15" s="139"/>
      <c r="B15" s="141"/>
      <c r="C15" s="829" t="s">
        <v>988</v>
      </c>
      <c r="D15" s="830"/>
      <c r="E15" s="177">
        <v>1</v>
      </c>
      <c r="F15" s="50"/>
      <c r="G15" s="642"/>
      <c r="H15" s="642"/>
      <c r="I15" s="642"/>
      <c r="J15" s="50"/>
      <c r="K15" s="51"/>
      <c r="L15" s="50"/>
      <c r="N15" s="41"/>
    </row>
    <row r="16" spans="1:14" ht="17.25" customHeight="1">
      <c r="A16" s="139"/>
      <c r="B16" s="141"/>
      <c r="C16" s="943" t="s">
        <v>36</v>
      </c>
      <c r="D16" s="920"/>
      <c r="E16" s="216">
        <f>SUM(E13:E15)/3</f>
        <v>1.1666666666666667</v>
      </c>
      <c r="F16" s="50"/>
      <c r="G16" s="86"/>
      <c r="H16" s="53"/>
      <c r="I16" s="50"/>
      <c r="J16" s="50"/>
      <c r="K16" s="51"/>
      <c r="L16" s="50"/>
      <c r="N16" s="41"/>
    </row>
    <row r="17" spans="1:14" ht="19.5" thickBot="1">
      <c r="A17" s="139"/>
      <c r="B17" s="139"/>
      <c r="C17" s="862" t="s">
        <v>90</v>
      </c>
      <c r="D17" s="863"/>
      <c r="E17" s="217">
        <f>E16</f>
        <v>1.1666666666666667</v>
      </c>
      <c r="F17" s="50"/>
      <c r="G17" s="81"/>
      <c r="H17" s="53"/>
      <c r="I17" s="50"/>
      <c r="J17" s="50"/>
      <c r="K17" s="51"/>
      <c r="L17" s="50"/>
      <c r="N17" s="41"/>
    </row>
    <row r="18" spans="1:14" ht="19.5" thickBot="1">
      <c r="A18" s="139"/>
      <c r="B18" s="139"/>
      <c r="C18" s="89"/>
      <c r="D18" s="89"/>
      <c r="E18" s="50"/>
      <c r="F18" s="50"/>
      <c r="G18" s="81"/>
      <c r="H18" s="53"/>
      <c r="I18" s="50"/>
      <c r="J18" s="50"/>
      <c r="K18" s="51"/>
      <c r="L18" s="50"/>
      <c r="N18" s="41"/>
    </row>
    <row r="19" spans="1:14" ht="30" customHeight="1" thickBot="1">
      <c r="A19" s="139">
        <v>3</v>
      </c>
      <c r="B19" s="141" t="s">
        <v>150</v>
      </c>
      <c r="C19" s="912" t="s">
        <v>152</v>
      </c>
      <c r="D19" s="913"/>
      <c r="E19" s="178">
        <v>2</v>
      </c>
      <c r="F19" s="50" t="str">
        <f>IF(OR(E19&lt;1,E19&gt;4),"Salah Isi","")</f>
        <v/>
      </c>
      <c r="G19" s="822" t="s">
        <v>163</v>
      </c>
      <c r="H19" s="823"/>
      <c r="I19" s="824"/>
      <c r="J19" s="50"/>
      <c r="K19" s="51"/>
      <c r="L19" s="50"/>
      <c r="N19" s="41"/>
    </row>
    <row r="20" spans="1:14" ht="27.75" customHeight="1">
      <c r="A20" s="139"/>
      <c r="B20" s="141"/>
      <c r="C20" s="247">
        <v>4</v>
      </c>
      <c r="D20" s="239" t="s">
        <v>153</v>
      </c>
      <c r="E20" s="255"/>
      <c r="F20" s="50"/>
      <c r="G20" s="643"/>
      <c r="H20" s="643"/>
      <c r="I20" s="643"/>
      <c r="J20" s="50"/>
      <c r="K20" s="51"/>
      <c r="L20" s="50"/>
      <c r="N20" s="41"/>
    </row>
    <row r="21" spans="1:14" ht="26.25" customHeight="1">
      <c r="A21" s="139"/>
      <c r="B21" s="141"/>
      <c r="C21" s="247">
        <v>3</v>
      </c>
      <c r="D21" s="240" t="s">
        <v>154</v>
      </c>
      <c r="E21" s="255"/>
      <c r="F21" s="50"/>
      <c r="G21" s="644"/>
      <c r="H21" s="643"/>
      <c r="I21" s="643"/>
      <c r="J21" s="50"/>
      <c r="K21" s="51"/>
      <c r="L21" s="50"/>
      <c r="N21" s="41"/>
    </row>
    <row r="22" spans="1:14" ht="25.5" customHeight="1">
      <c r="A22" s="139"/>
      <c r="B22" s="141"/>
      <c r="C22" s="248">
        <v>2</v>
      </c>
      <c r="D22" s="239" t="s">
        <v>155</v>
      </c>
      <c r="E22" s="256"/>
      <c r="F22" s="50"/>
      <c r="G22" s="644"/>
      <c r="H22" s="643"/>
      <c r="I22" s="643"/>
      <c r="J22" s="50"/>
      <c r="K22" s="51"/>
      <c r="L22" s="50"/>
      <c r="N22" s="41"/>
    </row>
    <row r="23" spans="1:14" ht="19.5" customHeight="1">
      <c r="A23" s="139"/>
      <c r="B23" s="141"/>
      <c r="C23" s="247">
        <v>1</v>
      </c>
      <c r="D23" s="254" t="s">
        <v>156</v>
      </c>
      <c r="E23" s="256"/>
      <c r="F23" s="50"/>
      <c r="G23" s="644"/>
      <c r="H23" s="643"/>
      <c r="I23" s="643"/>
      <c r="J23" s="50"/>
      <c r="K23" s="51"/>
      <c r="L23" s="50"/>
      <c r="N23" s="41"/>
    </row>
    <row r="24" spans="1:14" ht="19.5" thickBot="1">
      <c r="A24" s="139"/>
      <c r="B24" s="139"/>
      <c r="C24" s="862" t="s">
        <v>90</v>
      </c>
      <c r="D24" s="863"/>
      <c r="E24" s="217">
        <f>IF(OR(E19&lt;1,E19&gt;4),"Salah Isi",E19)</f>
        <v>2</v>
      </c>
      <c r="F24" s="50"/>
      <c r="G24" s="81"/>
      <c r="H24" s="53"/>
      <c r="I24" s="50"/>
      <c r="J24" s="50"/>
      <c r="K24" s="51"/>
      <c r="L24" s="50"/>
      <c r="N24" s="41"/>
    </row>
    <row r="25" spans="1:14" ht="19.5" thickBot="1">
      <c r="A25" s="139"/>
      <c r="B25" s="139"/>
      <c r="C25" s="89"/>
      <c r="D25" s="89"/>
      <c r="E25" s="50"/>
      <c r="F25" s="50"/>
      <c r="G25" s="81"/>
      <c r="H25" s="53"/>
      <c r="I25" s="50"/>
      <c r="J25" s="50"/>
      <c r="K25" s="51"/>
      <c r="L25" s="50"/>
      <c r="N25" s="41"/>
    </row>
    <row r="26" spans="1:14" ht="54.75" customHeight="1" thickBot="1">
      <c r="A26" s="139">
        <v>4</v>
      </c>
      <c r="B26" s="141" t="s">
        <v>151</v>
      </c>
      <c r="C26" s="912" t="s">
        <v>157</v>
      </c>
      <c r="D26" s="913"/>
      <c r="E26" s="178">
        <v>2.5</v>
      </c>
      <c r="F26" s="154"/>
      <c r="G26" s="822" t="s">
        <v>164</v>
      </c>
      <c r="H26" s="823"/>
      <c r="I26" s="824"/>
      <c r="J26" s="50"/>
      <c r="K26" s="51"/>
      <c r="L26" s="50"/>
      <c r="N26" s="41"/>
    </row>
    <row r="27" spans="1:14" ht="28.5" customHeight="1">
      <c r="A27" s="139"/>
      <c r="B27" s="141"/>
      <c r="C27" s="247">
        <v>4</v>
      </c>
      <c r="D27" s="242" t="s">
        <v>158</v>
      </c>
      <c r="E27" s="257"/>
      <c r="F27" s="154"/>
      <c r="G27" s="643"/>
      <c r="H27" s="643"/>
      <c r="I27" s="643"/>
      <c r="J27" s="50"/>
      <c r="K27" s="51"/>
      <c r="L27" s="50"/>
      <c r="N27" s="41"/>
    </row>
    <row r="28" spans="1:14" ht="27" customHeight="1">
      <c r="A28" s="139"/>
      <c r="B28" s="141"/>
      <c r="C28" s="247">
        <v>3</v>
      </c>
      <c r="D28" s="244" t="s">
        <v>159</v>
      </c>
      <c r="E28" s="257"/>
      <c r="F28" s="154"/>
      <c r="G28" s="643"/>
      <c r="H28" s="643"/>
      <c r="I28" s="643"/>
      <c r="J28" s="50"/>
      <c r="K28" s="51"/>
      <c r="L28" s="50"/>
      <c r="N28" s="41"/>
    </row>
    <row r="29" spans="1:14" ht="27" customHeight="1">
      <c r="A29" s="139"/>
      <c r="B29" s="141"/>
      <c r="C29" s="248">
        <v>2</v>
      </c>
      <c r="D29" s="239" t="s">
        <v>160</v>
      </c>
      <c r="E29" s="258"/>
      <c r="F29" s="154"/>
      <c r="G29" s="643"/>
      <c r="H29" s="643"/>
      <c r="I29" s="643"/>
      <c r="J29" s="50"/>
      <c r="K29" s="51"/>
      <c r="L29" s="50"/>
      <c r="N29" s="41"/>
    </row>
    <row r="30" spans="1:14" ht="41.25" customHeight="1">
      <c r="A30" s="139"/>
      <c r="B30" s="141"/>
      <c r="C30" s="247">
        <v>1</v>
      </c>
      <c r="D30" s="238" t="s">
        <v>161</v>
      </c>
      <c r="E30" s="257"/>
      <c r="F30" s="154"/>
      <c r="G30" s="643"/>
      <c r="H30" s="643"/>
      <c r="I30" s="643"/>
      <c r="J30" s="50"/>
      <c r="K30" s="51"/>
      <c r="L30" s="50"/>
      <c r="N30" s="41"/>
    </row>
    <row r="31" spans="1:14" ht="19.5" thickBot="1">
      <c r="A31" s="139"/>
      <c r="B31" s="139"/>
      <c r="C31" s="864" t="s">
        <v>90</v>
      </c>
      <c r="D31" s="865"/>
      <c r="E31" s="217">
        <f>IF(OR(E26&lt;1,E26&gt;4),"Salah Isi", E26)</f>
        <v>2.5</v>
      </c>
      <c r="F31" s="50"/>
      <c r="G31" s="81"/>
      <c r="H31" s="53"/>
      <c r="I31" s="50"/>
      <c r="J31" s="50"/>
      <c r="K31" s="51"/>
      <c r="L31" s="50"/>
      <c r="N31" s="41"/>
    </row>
    <row r="32" spans="1:14" ht="19.5" thickBot="1">
      <c r="A32" s="139"/>
      <c r="B32" s="139"/>
      <c r="C32" s="89"/>
      <c r="D32" s="89"/>
      <c r="E32" s="50"/>
      <c r="F32" s="50"/>
      <c r="G32" s="81"/>
      <c r="H32" s="53"/>
      <c r="I32" s="50"/>
      <c r="J32" s="50"/>
      <c r="K32" s="51"/>
      <c r="L32" s="50"/>
      <c r="N32" s="41"/>
    </row>
    <row r="33" spans="1:14" ht="81" customHeight="1" thickBot="1">
      <c r="A33" s="139">
        <v>5</v>
      </c>
      <c r="B33" s="141" t="s">
        <v>29</v>
      </c>
      <c r="C33" s="912" t="s">
        <v>266</v>
      </c>
      <c r="D33" s="913"/>
      <c r="E33" s="178">
        <v>0</v>
      </c>
      <c r="F33" s="154"/>
      <c r="G33" s="822" t="s">
        <v>165</v>
      </c>
      <c r="H33" s="823"/>
      <c r="I33" s="824"/>
      <c r="J33" s="50"/>
      <c r="K33" s="51"/>
      <c r="L33" s="50"/>
      <c r="N33" s="41"/>
    </row>
    <row r="34" spans="1:14" ht="27.75" customHeight="1">
      <c r="A34" s="139"/>
      <c r="B34" s="141"/>
      <c r="C34" s="253">
        <v>4</v>
      </c>
      <c r="D34" s="234" t="s">
        <v>186</v>
      </c>
      <c r="E34" s="251"/>
      <c r="F34" s="154"/>
      <c r="G34" s="645"/>
      <c r="H34" s="643"/>
      <c r="I34" s="643"/>
      <c r="J34" s="50"/>
      <c r="K34" s="51"/>
      <c r="L34" s="50"/>
      <c r="N34" s="41"/>
    </row>
    <row r="35" spans="1:14" ht="27.75" customHeight="1">
      <c r="A35" s="139"/>
      <c r="B35" s="141"/>
      <c r="C35" s="253">
        <v>3</v>
      </c>
      <c r="D35" s="252" t="s">
        <v>187</v>
      </c>
      <c r="E35" s="251"/>
      <c r="F35" s="154"/>
      <c r="G35" s="645"/>
      <c r="H35" s="643"/>
      <c r="I35" s="643"/>
      <c r="J35" s="50"/>
      <c r="K35" s="51"/>
      <c r="L35" s="50"/>
      <c r="N35" s="41"/>
    </row>
    <row r="36" spans="1:14" ht="27.75" customHeight="1">
      <c r="A36" s="139"/>
      <c r="B36" s="141"/>
      <c r="C36" s="249">
        <v>2</v>
      </c>
      <c r="D36" s="252" t="s">
        <v>188</v>
      </c>
      <c r="E36" s="251"/>
      <c r="F36" s="154"/>
      <c r="G36" s="645"/>
      <c r="H36" s="643"/>
      <c r="I36" s="643"/>
      <c r="J36" s="50"/>
      <c r="K36" s="51"/>
      <c r="L36" s="50"/>
      <c r="N36" s="41"/>
    </row>
    <row r="37" spans="1:14" ht="26.25" customHeight="1">
      <c r="A37" s="139"/>
      <c r="B37" s="141"/>
      <c r="C37" s="253">
        <v>1</v>
      </c>
      <c r="D37" s="250" t="s">
        <v>189</v>
      </c>
      <c r="E37" s="251"/>
      <c r="F37" s="154"/>
      <c r="G37" s="645"/>
      <c r="H37" s="643"/>
      <c r="I37" s="643"/>
      <c r="J37" s="50"/>
      <c r="K37" s="51"/>
      <c r="L37" s="50"/>
      <c r="N37" s="41"/>
    </row>
    <row r="38" spans="1:14" ht="20.25" customHeight="1">
      <c r="A38" s="139"/>
      <c r="B38" s="141"/>
      <c r="C38" s="673">
        <v>0</v>
      </c>
      <c r="D38" s="250" t="s">
        <v>989</v>
      </c>
      <c r="E38" s="251"/>
      <c r="F38" s="154"/>
      <c r="G38" s="671"/>
      <c r="H38" s="643"/>
      <c r="I38" s="643"/>
      <c r="J38" s="50"/>
      <c r="K38" s="51"/>
      <c r="L38" s="50"/>
      <c r="N38" s="41"/>
    </row>
    <row r="39" spans="1:14" ht="19.5" thickBot="1">
      <c r="A39" s="139"/>
      <c r="B39" s="139"/>
      <c r="C39" s="862" t="s">
        <v>90</v>
      </c>
      <c r="D39" s="863"/>
      <c r="E39" s="217">
        <f>IF(OR(E33&lt;0,E33&gt;4),"Salah Isi", E33)</f>
        <v>0</v>
      </c>
      <c r="F39" s="50"/>
      <c r="G39" s="81"/>
      <c r="H39" s="53"/>
      <c r="I39" s="50"/>
      <c r="J39" s="50"/>
      <c r="K39" s="51"/>
      <c r="L39" s="50"/>
      <c r="N39" s="41"/>
    </row>
    <row r="40" spans="1:14" ht="19.5" thickBot="1">
      <c r="A40" s="139"/>
      <c r="B40" s="139"/>
      <c r="C40" s="89"/>
      <c r="D40" s="89"/>
      <c r="E40" s="50"/>
      <c r="F40" s="50"/>
      <c r="G40" s="81"/>
      <c r="H40" s="53"/>
      <c r="I40" s="50"/>
      <c r="J40" s="50"/>
      <c r="K40" s="51"/>
      <c r="L40" s="50"/>
      <c r="N40" s="41"/>
    </row>
    <row r="41" spans="1:14" ht="93" customHeight="1" thickBot="1">
      <c r="A41" s="139">
        <v>6</v>
      </c>
      <c r="B41" s="141" t="s">
        <v>30</v>
      </c>
      <c r="C41" s="912" t="s">
        <v>190</v>
      </c>
      <c r="D41" s="913"/>
      <c r="E41" s="178">
        <v>3</v>
      </c>
      <c r="F41" s="154"/>
      <c r="G41" s="889" t="s">
        <v>1002</v>
      </c>
      <c r="H41" s="940"/>
      <c r="I41" s="941"/>
      <c r="J41" s="50"/>
      <c r="K41" s="51"/>
      <c r="L41" s="50"/>
      <c r="N41" s="41"/>
    </row>
    <row r="42" spans="1:14" ht="27" customHeight="1">
      <c r="A42" s="139"/>
      <c r="B42" s="141"/>
      <c r="C42" s="253">
        <v>4</v>
      </c>
      <c r="D42" s="259" t="s">
        <v>191</v>
      </c>
      <c r="E42" s="251"/>
      <c r="F42" s="154"/>
      <c r="G42" s="942"/>
      <c r="H42" s="942"/>
      <c r="I42" s="942"/>
      <c r="J42" s="50"/>
      <c r="K42" s="51"/>
      <c r="L42" s="50"/>
      <c r="N42" s="41"/>
    </row>
    <row r="43" spans="1:14" ht="42" customHeight="1">
      <c r="A43" s="139"/>
      <c r="B43" s="141"/>
      <c r="C43" s="253">
        <v>3</v>
      </c>
      <c r="D43" s="244" t="s">
        <v>192</v>
      </c>
      <c r="E43" s="251"/>
      <c r="F43" s="154"/>
      <c r="G43" s="645"/>
      <c r="H43" s="645"/>
      <c r="I43" s="645"/>
      <c r="J43" s="50"/>
      <c r="K43" s="51"/>
      <c r="L43" s="50"/>
      <c r="N43" s="41"/>
    </row>
    <row r="44" spans="1:14" ht="30.75" customHeight="1">
      <c r="A44" s="139"/>
      <c r="B44" s="141"/>
      <c r="C44" s="253">
        <v>2</v>
      </c>
      <c r="D44" s="244" t="s">
        <v>193</v>
      </c>
      <c r="E44" s="251"/>
      <c r="F44" s="154"/>
      <c r="G44" s="645"/>
      <c r="H44" s="645"/>
      <c r="I44" s="645"/>
      <c r="J44" s="50"/>
      <c r="K44" s="51"/>
      <c r="L44" s="50"/>
      <c r="N44" s="41"/>
    </row>
    <row r="45" spans="1:14" ht="16.5" customHeight="1">
      <c r="A45" s="139"/>
      <c r="B45" s="141"/>
      <c r="C45" s="253">
        <v>1</v>
      </c>
      <c r="D45" s="260" t="s">
        <v>194</v>
      </c>
      <c r="E45" s="251"/>
      <c r="F45" s="154"/>
      <c r="G45" s="645"/>
      <c r="H45" s="645"/>
      <c r="I45" s="645"/>
      <c r="J45" s="50"/>
      <c r="K45" s="51"/>
      <c r="L45" s="50"/>
      <c r="N45" s="41"/>
    </row>
    <row r="46" spans="1:14" ht="19.5" thickBot="1">
      <c r="A46" s="139"/>
      <c r="B46" s="139"/>
      <c r="C46" s="862" t="s">
        <v>90</v>
      </c>
      <c r="D46" s="863"/>
      <c r="E46" s="217">
        <f>IF(OR(E41&lt;1,E41&gt;4),"Salah Isi",E41)</f>
        <v>3</v>
      </c>
      <c r="F46" s="50"/>
      <c r="G46" s="81"/>
      <c r="H46" s="53"/>
      <c r="I46" s="50"/>
      <c r="J46" s="50"/>
      <c r="K46" s="51"/>
      <c r="L46" s="50"/>
      <c r="N46" s="41"/>
    </row>
    <row r="47" spans="1:14" ht="19.5" thickBot="1">
      <c r="A47" s="139"/>
      <c r="B47" s="139"/>
      <c r="C47" s="89"/>
      <c r="D47" s="89"/>
      <c r="E47" s="50"/>
      <c r="F47" s="50"/>
      <c r="G47" s="81"/>
      <c r="H47" s="53"/>
      <c r="I47" s="50"/>
      <c r="J47" s="50"/>
      <c r="K47" s="51"/>
      <c r="L47" s="50"/>
      <c r="N47" s="41"/>
    </row>
    <row r="48" spans="1:14" ht="22.5" customHeight="1" thickBot="1">
      <c r="A48" s="139">
        <v>7</v>
      </c>
      <c r="B48" s="141" t="s">
        <v>195</v>
      </c>
      <c r="C48" s="944" t="s">
        <v>196</v>
      </c>
      <c r="D48" s="945"/>
      <c r="E48" s="178">
        <v>1</v>
      </c>
      <c r="F48" s="50"/>
      <c r="G48" s="822" t="s">
        <v>166</v>
      </c>
      <c r="H48" s="866"/>
      <c r="I48" s="867"/>
      <c r="J48" s="50"/>
      <c r="K48" s="51"/>
      <c r="L48" s="50"/>
      <c r="N48" s="41"/>
    </row>
    <row r="49" spans="1:14" ht="54" customHeight="1">
      <c r="A49" s="139"/>
      <c r="B49" s="141"/>
      <c r="C49" s="265">
        <v>4</v>
      </c>
      <c r="D49" s="244" t="s">
        <v>993</v>
      </c>
      <c r="E49" s="262"/>
      <c r="F49" s="154" t="str">
        <f>IF(E49&lt;0,"Salah isi",IF(E49&gt;4,"Salah isi",""))</f>
        <v/>
      </c>
      <c r="G49" s="641"/>
      <c r="H49" s="641"/>
      <c r="I49" s="641"/>
      <c r="J49" s="50"/>
      <c r="K49" s="51"/>
      <c r="L49" s="50"/>
      <c r="N49" s="41"/>
    </row>
    <row r="50" spans="1:14" ht="52.5" customHeight="1">
      <c r="A50" s="139"/>
      <c r="B50" s="141"/>
      <c r="C50" s="266">
        <v>3</v>
      </c>
      <c r="D50" s="244" t="s">
        <v>994</v>
      </c>
      <c r="E50" s="267"/>
      <c r="F50" s="154" t="str">
        <f>IF(E50&lt;0,"Salah isi",IF(E50&gt;4,"Salah isi",""))</f>
        <v/>
      </c>
      <c r="G50" s="641"/>
      <c r="H50" s="641"/>
      <c r="I50" s="641"/>
      <c r="J50" s="50"/>
      <c r="K50" s="51"/>
      <c r="L50" s="50"/>
      <c r="N50" s="41"/>
    </row>
    <row r="51" spans="1:14" ht="54.75" customHeight="1">
      <c r="A51" s="139"/>
      <c r="B51" s="141"/>
      <c r="C51" s="266">
        <v>2</v>
      </c>
      <c r="D51" s="244" t="s">
        <v>995</v>
      </c>
      <c r="E51" s="267"/>
      <c r="F51" s="154" t="str">
        <f>IF(E51&lt;0,"Salah isi",IF(E51&gt;4,"Salah isi",""))</f>
        <v/>
      </c>
      <c r="G51" s="81"/>
      <c r="H51" s="53"/>
      <c r="I51" s="50"/>
      <c r="J51" s="50"/>
      <c r="K51" s="51"/>
      <c r="L51" s="50"/>
      <c r="N51" s="41"/>
    </row>
    <row r="52" spans="1:14" ht="39" customHeight="1">
      <c r="A52" s="139"/>
      <c r="B52" s="141"/>
      <c r="C52" s="266">
        <v>1</v>
      </c>
      <c r="D52" s="264" t="s">
        <v>197</v>
      </c>
      <c r="E52" s="263"/>
      <c r="F52" s="154" t="str">
        <f>IF(E52&lt;0,"Salah isi",IF(E52&gt;4,"Salah isi",""))</f>
        <v/>
      </c>
      <c r="G52" s="81"/>
      <c r="H52" s="53"/>
      <c r="I52" s="50"/>
      <c r="J52" s="50"/>
      <c r="K52" s="51"/>
      <c r="L52" s="50"/>
      <c r="N52" s="41"/>
    </row>
    <row r="53" spans="1:14" ht="18" customHeight="1">
      <c r="A53" s="139"/>
      <c r="B53" s="141"/>
      <c r="C53" s="266">
        <v>0</v>
      </c>
      <c r="D53" s="268" t="s">
        <v>198</v>
      </c>
      <c r="E53" s="251"/>
      <c r="F53" s="154"/>
      <c r="G53" s="81"/>
      <c r="H53" s="53"/>
      <c r="I53" s="50"/>
      <c r="J53" s="50"/>
      <c r="K53" s="51"/>
      <c r="L53" s="50"/>
      <c r="N53" s="41"/>
    </row>
    <row r="54" spans="1:14" ht="19.5" thickBot="1">
      <c r="A54" s="139"/>
      <c r="B54" s="139"/>
      <c r="C54" s="862" t="s">
        <v>90</v>
      </c>
      <c r="D54" s="863"/>
      <c r="E54" s="217">
        <f>IF(OR(E48&lt;0,E48&gt;4),"Salah Isi",E48)</f>
        <v>1</v>
      </c>
      <c r="F54" s="50"/>
      <c r="G54" s="261"/>
      <c r="H54" s="53"/>
      <c r="I54" s="50"/>
      <c r="J54" s="50"/>
      <c r="K54" s="51"/>
      <c r="L54" s="50"/>
      <c r="N54" s="41"/>
    </row>
    <row r="55" spans="1:14" ht="19.5" thickBot="1">
      <c r="A55" s="139"/>
      <c r="B55" s="139"/>
      <c r="C55" s="89"/>
      <c r="D55" s="89"/>
      <c r="E55" s="50"/>
      <c r="F55" s="50"/>
      <c r="G55" s="81"/>
      <c r="H55" s="53"/>
      <c r="I55" s="50"/>
      <c r="J55" s="50"/>
      <c r="K55" s="51"/>
      <c r="L55" s="50"/>
      <c r="N55" s="41"/>
    </row>
    <row r="56" spans="1:14" ht="30.75" customHeight="1" thickBot="1">
      <c r="A56" s="139">
        <v>8</v>
      </c>
      <c r="B56" s="141">
        <v>2.2000000000000002</v>
      </c>
      <c r="C56" s="912" t="s">
        <v>199</v>
      </c>
      <c r="D56" s="913"/>
      <c r="E56" s="178">
        <v>2.75</v>
      </c>
      <c r="F56" s="50"/>
      <c r="G56" s="822" t="s">
        <v>167</v>
      </c>
      <c r="H56" s="866"/>
      <c r="I56" s="867"/>
      <c r="J56" s="50"/>
      <c r="K56" s="51"/>
      <c r="L56" s="50"/>
      <c r="N56" s="41"/>
    </row>
    <row r="57" spans="1:14" ht="19.5" customHeight="1">
      <c r="A57" s="139"/>
      <c r="B57" s="141"/>
      <c r="C57" s="272">
        <v>4</v>
      </c>
      <c r="D57" s="270" t="s">
        <v>200</v>
      </c>
      <c r="E57" s="262"/>
      <c r="F57" s="154" t="str">
        <f>IF(E57&lt;0,"Salah isi",IF(E57&gt;4,"Salah isi",""))</f>
        <v/>
      </c>
      <c r="G57" s="644"/>
      <c r="H57" s="644"/>
      <c r="I57" s="644"/>
      <c r="J57" s="50"/>
      <c r="K57" s="51"/>
      <c r="L57" s="50"/>
      <c r="N57" s="41"/>
    </row>
    <row r="58" spans="1:14" ht="19.5" customHeight="1">
      <c r="A58" s="139"/>
      <c r="B58" s="141"/>
      <c r="C58" s="272">
        <v>3</v>
      </c>
      <c r="D58" s="271" t="s">
        <v>201</v>
      </c>
      <c r="E58" s="267"/>
      <c r="F58" s="154"/>
      <c r="G58" s="643"/>
      <c r="H58" s="643"/>
      <c r="I58" s="643"/>
      <c r="J58" s="50"/>
      <c r="K58" s="51"/>
      <c r="L58" s="50"/>
      <c r="N58" s="41"/>
    </row>
    <row r="59" spans="1:14" ht="18.75" customHeight="1">
      <c r="A59" s="139"/>
      <c r="B59" s="141"/>
      <c r="C59" s="272">
        <v>2</v>
      </c>
      <c r="D59" s="271" t="s">
        <v>202</v>
      </c>
      <c r="E59" s="267"/>
      <c r="F59" s="154" t="str">
        <f>IF(E59&lt;0,"Salah isi",IF(E59&gt;4,"Salah isi",""))</f>
        <v/>
      </c>
      <c r="G59" s="81"/>
      <c r="H59" s="53"/>
      <c r="I59" s="50"/>
      <c r="J59" s="50"/>
      <c r="K59" s="51"/>
      <c r="L59" s="50"/>
      <c r="N59" s="41"/>
    </row>
    <row r="60" spans="1:14" ht="18.75" customHeight="1">
      <c r="A60" s="139"/>
      <c r="B60" s="141"/>
      <c r="C60" s="272">
        <v>1</v>
      </c>
      <c r="D60" s="269" t="s">
        <v>209</v>
      </c>
      <c r="E60" s="263"/>
      <c r="F60" s="154" t="str">
        <f>IF(E60&lt;0,"Salah isi",IF(E60&gt;4,"Salah isi",""))</f>
        <v/>
      </c>
      <c r="G60" s="81"/>
      <c r="H60" s="53"/>
      <c r="I60" s="50"/>
      <c r="J60" s="50"/>
      <c r="K60" s="51"/>
      <c r="L60" s="50"/>
      <c r="N60" s="41"/>
    </row>
    <row r="61" spans="1:14" ht="19.5" thickBot="1">
      <c r="A61" s="139"/>
      <c r="B61" s="139"/>
      <c r="C61" s="833" t="s">
        <v>90</v>
      </c>
      <c r="D61" s="834"/>
      <c r="E61" s="217">
        <f>IF(OR(E56&lt;1,E56&gt;4),"Salah Isi",E56)</f>
        <v>2.75</v>
      </c>
      <c r="F61" s="50"/>
      <c r="G61" s="81"/>
      <c r="H61" s="53"/>
      <c r="I61" s="50"/>
      <c r="J61" s="50"/>
      <c r="K61" s="51"/>
      <c r="L61" s="50"/>
      <c r="N61" s="41"/>
    </row>
    <row r="62" spans="1:14" ht="19.5" thickBot="1">
      <c r="A62" s="139"/>
      <c r="B62" s="139"/>
      <c r="C62" s="88"/>
      <c r="D62" s="88"/>
      <c r="E62" s="50"/>
      <c r="F62" s="50"/>
      <c r="G62" s="81"/>
      <c r="H62" s="53"/>
      <c r="I62" s="50"/>
      <c r="J62" s="50"/>
      <c r="K62" s="51"/>
      <c r="L62" s="50"/>
      <c r="N62" s="41"/>
    </row>
    <row r="63" spans="1:14" ht="53.25" customHeight="1" thickBot="1">
      <c r="A63" s="139">
        <v>9</v>
      </c>
      <c r="B63" s="141" t="s">
        <v>203</v>
      </c>
      <c r="C63" s="909" t="s">
        <v>206</v>
      </c>
      <c r="D63" s="910"/>
      <c r="E63" s="80">
        <v>3.25</v>
      </c>
      <c r="F63" s="154"/>
      <c r="G63" s="822" t="s">
        <v>166</v>
      </c>
      <c r="H63" s="823"/>
      <c r="I63" s="824"/>
      <c r="J63" s="50"/>
      <c r="K63" s="51"/>
      <c r="L63" s="50"/>
      <c r="N63" s="41"/>
    </row>
    <row r="64" spans="1:14" ht="27.75" customHeight="1">
      <c r="A64" s="139"/>
      <c r="B64" s="141"/>
      <c r="C64" s="277">
        <v>4</v>
      </c>
      <c r="D64" s="276" t="s">
        <v>204</v>
      </c>
      <c r="E64" s="278"/>
      <c r="F64" s="154"/>
      <c r="G64" s="645"/>
      <c r="H64" s="643"/>
      <c r="I64" s="643"/>
      <c r="J64" s="50"/>
      <c r="K64" s="51"/>
      <c r="L64" s="50"/>
      <c r="N64" s="41"/>
    </row>
    <row r="65" spans="1:14" ht="26.25" customHeight="1">
      <c r="A65" s="139"/>
      <c r="B65" s="141"/>
      <c r="C65" s="277">
        <v>3</v>
      </c>
      <c r="D65" s="274" t="s">
        <v>205</v>
      </c>
      <c r="E65" s="279"/>
      <c r="F65" s="154"/>
      <c r="G65" s="645"/>
      <c r="H65" s="643"/>
      <c r="I65" s="643"/>
      <c r="J65" s="50"/>
      <c r="K65" s="51"/>
      <c r="L65" s="50"/>
      <c r="N65" s="41"/>
    </row>
    <row r="66" spans="1:14" ht="26.25" customHeight="1">
      <c r="A66" s="139"/>
      <c r="B66" s="141"/>
      <c r="C66" s="277">
        <v>2</v>
      </c>
      <c r="D66" s="275" t="s">
        <v>207</v>
      </c>
      <c r="E66" s="279"/>
      <c r="F66" s="154"/>
      <c r="G66" s="645"/>
      <c r="H66" s="643"/>
      <c r="I66" s="643"/>
      <c r="J66" s="50"/>
      <c r="K66" s="51"/>
      <c r="L66" s="50"/>
      <c r="N66" s="41"/>
    </row>
    <row r="67" spans="1:14" ht="26.25" customHeight="1">
      <c r="A67" s="139"/>
      <c r="B67" s="141"/>
      <c r="C67" s="273">
        <v>1</v>
      </c>
      <c r="D67" s="276" t="s">
        <v>208</v>
      </c>
      <c r="E67" s="280"/>
      <c r="F67" s="154"/>
      <c r="G67" s="645"/>
      <c r="H67" s="643"/>
      <c r="I67" s="643"/>
      <c r="J67" s="50"/>
      <c r="K67" s="51"/>
      <c r="L67" s="50"/>
      <c r="N67" s="41"/>
    </row>
    <row r="68" spans="1:14" ht="19.5" thickBot="1">
      <c r="A68" s="139"/>
      <c r="B68" s="139"/>
      <c r="C68" s="833" t="s">
        <v>90</v>
      </c>
      <c r="D68" s="834"/>
      <c r="E68" s="223">
        <f>IF(OR(E63&lt;1,E63&gt;4),"Salah Isi", E63)</f>
        <v>3.25</v>
      </c>
      <c r="F68" s="50"/>
      <c r="G68" s="81"/>
      <c r="H68" s="53"/>
      <c r="I68" s="50"/>
      <c r="J68" s="50"/>
      <c r="K68" s="51"/>
      <c r="L68" s="50"/>
      <c r="N68" s="41"/>
    </row>
    <row r="69" spans="1:14" ht="19.5" thickBot="1">
      <c r="A69" s="139"/>
      <c r="B69" s="139"/>
      <c r="C69" s="132"/>
      <c r="D69" s="132"/>
      <c r="E69" s="133"/>
      <c r="F69" s="50"/>
      <c r="G69" s="81"/>
      <c r="H69" s="53"/>
      <c r="I69" s="50"/>
      <c r="J69" s="50"/>
      <c r="K69" s="51"/>
      <c r="L69" s="50"/>
      <c r="N69" s="41"/>
    </row>
    <row r="70" spans="1:14" ht="40.5" customHeight="1">
      <c r="A70" s="731">
        <v>10</v>
      </c>
      <c r="B70" s="134" t="s">
        <v>210</v>
      </c>
      <c r="C70" s="843" t="s">
        <v>211</v>
      </c>
      <c r="D70" s="844"/>
      <c r="E70" s="178">
        <v>1.5</v>
      </c>
      <c r="F70" s="50"/>
      <c r="G70" s="845"/>
      <c r="H70" s="846"/>
      <c r="I70" s="847"/>
      <c r="J70" s="50"/>
      <c r="K70" s="51"/>
      <c r="L70" s="50"/>
      <c r="N70" s="41"/>
    </row>
    <row r="71" spans="1:14" ht="53.25" customHeight="1" thickBot="1">
      <c r="A71" s="139"/>
      <c r="B71" s="139"/>
      <c r="C71" s="277">
        <v>4</v>
      </c>
      <c r="D71" s="281" t="s">
        <v>954</v>
      </c>
      <c r="E71" s="262"/>
      <c r="F71" s="154" t="str">
        <f>IF(E71&lt;0,"Salah isi",IF(E71&gt;4,"Salah isi",""))</f>
        <v/>
      </c>
      <c r="G71" s="848"/>
      <c r="H71" s="849"/>
      <c r="I71" s="850"/>
      <c r="J71" s="50"/>
      <c r="K71" s="51"/>
      <c r="L71" s="50"/>
      <c r="N71" s="41"/>
    </row>
    <row r="72" spans="1:14" ht="51.75" customHeight="1">
      <c r="A72" s="139"/>
      <c r="B72" s="139"/>
      <c r="C72" s="283">
        <v>3</v>
      </c>
      <c r="D72" s="282" t="s">
        <v>955</v>
      </c>
      <c r="E72" s="267"/>
      <c r="F72" s="154"/>
      <c r="G72" s="644"/>
      <c r="H72" s="644"/>
      <c r="I72" s="644"/>
      <c r="J72" s="50"/>
      <c r="K72" s="51"/>
      <c r="L72" s="50"/>
      <c r="N72" s="41"/>
    </row>
    <row r="73" spans="1:14" ht="39.75" customHeight="1">
      <c r="A73" s="139"/>
      <c r="B73" s="139"/>
      <c r="C73" s="283">
        <v>2</v>
      </c>
      <c r="D73" s="282" t="s">
        <v>956</v>
      </c>
      <c r="E73" s="267"/>
      <c r="F73" s="154" t="str">
        <f>IF(E73&lt;0,"Salah isi",IF(E73&gt;4,"Salah isi",""))</f>
        <v/>
      </c>
      <c r="G73" s="81"/>
      <c r="H73" s="53"/>
      <c r="I73" s="50"/>
      <c r="J73" s="50"/>
      <c r="K73" s="51"/>
      <c r="L73" s="50"/>
      <c r="N73" s="41"/>
    </row>
    <row r="74" spans="1:14" ht="40.5" customHeight="1">
      <c r="A74" s="139"/>
      <c r="B74" s="139"/>
      <c r="C74" s="283">
        <v>1</v>
      </c>
      <c r="D74" s="282" t="s">
        <v>1016</v>
      </c>
      <c r="E74" s="263"/>
      <c r="F74" s="154"/>
      <c r="G74" s="81"/>
      <c r="H74" s="53"/>
      <c r="I74" s="50"/>
      <c r="J74" s="50"/>
      <c r="K74" s="51"/>
      <c r="L74" s="50"/>
      <c r="N74" s="41"/>
    </row>
    <row r="75" spans="1:14" ht="19.5" thickBot="1">
      <c r="A75" s="221"/>
      <c r="B75" s="139"/>
      <c r="C75" s="833" t="s">
        <v>90</v>
      </c>
      <c r="D75" s="834"/>
      <c r="E75" s="217">
        <f>IF(OR(E70&lt;1,E70&gt;4),"Salah Isi",E70)</f>
        <v>1.5</v>
      </c>
      <c r="F75" s="50"/>
      <c r="G75" s="81"/>
      <c r="H75" s="53"/>
      <c r="I75" s="50"/>
      <c r="J75" s="50"/>
      <c r="K75" s="51"/>
      <c r="L75" s="50"/>
      <c r="N75" s="41"/>
    </row>
    <row r="76" spans="1:14" ht="19.5" thickBot="1">
      <c r="A76" s="139"/>
      <c r="B76" s="139"/>
      <c r="C76" s="91"/>
      <c r="D76" s="91"/>
      <c r="E76" s="50"/>
      <c r="F76" s="50"/>
      <c r="G76" s="81"/>
      <c r="H76" s="53"/>
      <c r="I76" s="50"/>
      <c r="J76" s="50"/>
      <c r="K76" s="51"/>
      <c r="L76" s="50"/>
      <c r="N76" s="41"/>
    </row>
    <row r="77" spans="1:14" ht="28.5" customHeight="1" thickBot="1">
      <c r="A77" s="141">
        <v>11</v>
      </c>
      <c r="B77" s="141" t="s">
        <v>212</v>
      </c>
      <c r="C77" s="827" t="s">
        <v>213</v>
      </c>
      <c r="D77" s="828"/>
      <c r="E77" s="80">
        <v>2.75</v>
      </c>
      <c r="F77" s="50"/>
      <c r="G77" s="822" t="s">
        <v>166</v>
      </c>
      <c r="H77" s="866"/>
      <c r="I77" s="867"/>
      <c r="J77" s="50"/>
      <c r="K77" s="51"/>
      <c r="L77" s="50"/>
      <c r="N77" s="41"/>
    </row>
    <row r="78" spans="1:14" ht="25.5">
      <c r="A78" s="142"/>
      <c r="B78" s="142"/>
      <c r="C78" s="171">
        <v>4</v>
      </c>
      <c r="D78" s="285" t="s">
        <v>958</v>
      </c>
      <c r="E78" s="278"/>
      <c r="F78" s="50"/>
      <c r="G78" s="644"/>
      <c r="H78" s="644"/>
      <c r="I78" s="644"/>
    </row>
    <row r="79" spans="1:14" ht="25.5">
      <c r="A79" s="141"/>
      <c r="B79" s="141"/>
      <c r="C79" s="171">
        <v>3</v>
      </c>
      <c r="D79" s="285" t="s">
        <v>959</v>
      </c>
      <c r="E79" s="279"/>
      <c r="F79" s="50"/>
      <c r="G79" s="644"/>
      <c r="H79" s="644"/>
      <c r="I79" s="644"/>
    </row>
    <row r="80" spans="1:14" ht="27.75" customHeight="1">
      <c r="A80" s="141"/>
      <c r="B80" s="141"/>
      <c r="C80" s="171">
        <v>2</v>
      </c>
      <c r="D80" s="243" t="s">
        <v>960</v>
      </c>
      <c r="E80" s="267"/>
      <c r="F80" s="50"/>
      <c r="G80" s="81"/>
      <c r="H80" s="52"/>
      <c r="I80" s="50"/>
    </row>
    <row r="81" spans="1:16" ht="27.75" customHeight="1">
      <c r="A81" s="141"/>
      <c r="B81" s="141"/>
      <c r="C81" s="286">
        <v>1</v>
      </c>
      <c r="D81" s="244" t="s">
        <v>957</v>
      </c>
      <c r="E81" s="287"/>
      <c r="F81" s="50"/>
      <c r="G81" s="81"/>
      <c r="H81" s="52"/>
      <c r="I81" s="50"/>
    </row>
    <row r="82" spans="1:16" ht="15.75" thickBot="1">
      <c r="A82" s="141"/>
      <c r="B82" s="141"/>
      <c r="C82" s="862" t="s">
        <v>90</v>
      </c>
      <c r="D82" s="914"/>
      <c r="E82" s="236">
        <f>IF(OR(E77&lt;1,E77&gt;4),"Salah Isi", E77)</f>
        <v>2.75</v>
      </c>
      <c r="F82" s="157"/>
      <c r="G82" s="81"/>
      <c r="H82" s="52"/>
      <c r="I82" s="50"/>
      <c r="N82" s="42"/>
    </row>
    <row r="83" spans="1:16" ht="15.75" thickBot="1">
      <c r="A83" s="141"/>
      <c r="B83" s="141"/>
      <c r="C83" s="91"/>
      <c r="D83" s="91"/>
      <c r="E83" s="50"/>
      <c r="F83" s="50"/>
      <c r="G83" s="81"/>
      <c r="H83" s="52"/>
      <c r="I83" s="50"/>
      <c r="N83" s="884"/>
      <c r="O83" s="884"/>
      <c r="P83" s="884"/>
    </row>
    <row r="84" spans="1:16" ht="40.5" customHeight="1" thickBot="1">
      <c r="A84" s="141">
        <v>12</v>
      </c>
      <c r="B84" s="141" t="s">
        <v>215</v>
      </c>
      <c r="C84" s="860" t="s">
        <v>214</v>
      </c>
      <c r="D84" s="861"/>
      <c r="E84" s="80">
        <v>2.75</v>
      </c>
      <c r="F84" s="50"/>
      <c r="G84" s="822" t="s">
        <v>166</v>
      </c>
      <c r="H84" s="866"/>
      <c r="I84" s="867"/>
      <c r="N84" s="9"/>
      <c r="O84" s="9"/>
      <c r="P84" s="9"/>
    </row>
    <row r="85" spans="1:16" ht="39.75" customHeight="1">
      <c r="A85" s="142"/>
      <c r="B85" s="142"/>
      <c r="C85" s="288">
        <v>4</v>
      </c>
      <c r="D85" s="285" t="s">
        <v>1020</v>
      </c>
      <c r="E85" s="291"/>
      <c r="F85" s="50"/>
      <c r="G85" s="644"/>
      <c r="H85" s="644"/>
      <c r="I85" s="644"/>
      <c r="P85" s="40"/>
    </row>
    <row r="86" spans="1:16" ht="39.75" customHeight="1">
      <c r="A86" s="141"/>
      <c r="B86" s="141"/>
      <c r="C86" s="171">
        <v>3</v>
      </c>
      <c r="D86" s="289" t="s">
        <v>216</v>
      </c>
      <c r="E86" s="279"/>
      <c r="F86" s="50"/>
      <c r="G86" s="81"/>
      <c r="H86" s="52"/>
      <c r="I86" s="50"/>
      <c r="O86" s="41"/>
      <c r="P86" s="41"/>
    </row>
    <row r="87" spans="1:16" ht="39.75" customHeight="1">
      <c r="A87" s="141"/>
      <c r="B87" s="141"/>
      <c r="C87" s="171">
        <v>2</v>
      </c>
      <c r="D87" s="285" t="s">
        <v>217</v>
      </c>
      <c r="E87" s="279"/>
      <c r="F87" s="50"/>
      <c r="G87" s="81"/>
      <c r="H87" s="52"/>
      <c r="I87" s="50"/>
      <c r="O87" s="41"/>
      <c r="P87" s="41"/>
    </row>
    <row r="88" spans="1:16" ht="25.5">
      <c r="A88" s="141"/>
      <c r="B88" s="141"/>
      <c r="C88" s="290">
        <v>1</v>
      </c>
      <c r="D88" s="285" t="s">
        <v>218</v>
      </c>
      <c r="E88" s="267"/>
      <c r="F88" s="50"/>
      <c r="G88" s="81"/>
      <c r="H88" s="52"/>
      <c r="I88" s="50"/>
      <c r="P88" s="41"/>
    </row>
    <row r="89" spans="1:16" ht="15.75" customHeight="1" thickBot="1">
      <c r="A89" s="141"/>
      <c r="B89" s="141"/>
      <c r="C89" s="862" t="s">
        <v>90</v>
      </c>
      <c r="D89" s="863"/>
      <c r="E89" s="217">
        <f>IF(OR(E84&lt;1,E84&gt;4),"Salah Isi", E84)</f>
        <v>2.75</v>
      </c>
      <c r="F89" s="56"/>
      <c r="G89" s="81"/>
      <c r="H89" s="52"/>
      <c r="I89" s="50"/>
      <c r="P89" s="41"/>
    </row>
    <row r="90" spans="1:16" ht="19.5" thickBot="1">
      <c r="A90" s="141"/>
      <c r="B90" s="141"/>
      <c r="C90" s="91"/>
      <c r="D90" s="91"/>
      <c r="E90" s="50"/>
      <c r="F90" s="50"/>
      <c r="G90" s="81"/>
      <c r="H90" s="52"/>
      <c r="I90" s="50"/>
      <c r="P90" s="41"/>
    </row>
    <row r="91" spans="1:16" ht="41.25" customHeight="1" thickBot="1">
      <c r="A91" s="141">
        <v>13</v>
      </c>
      <c r="B91" s="141" t="s">
        <v>219</v>
      </c>
      <c r="C91" s="860" t="s">
        <v>220</v>
      </c>
      <c r="D91" s="861"/>
      <c r="E91" s="178">
        <v>3</v>
      </c>
      <c r="F91" s="50"/>
      <c r="G91" s="889"/>
      <c r="H91" s="890"/>
      <c r="I91" s="891"/>
      <c r="P91" s="41"/>
    </row>
    <row r="92" spans="1:16" ht="27" customHeight="1">
      <c r="A92" s="142"/>
      <c r="B92" s="142"/>
      <c r="C92" s="292">
        <v>4</v>
      </c>
      <c r="D92" s="294" t="s">
        <v>962</v>
      </c>
      <c r="E92" s="278"/>
      <c r="F92" s="50"/>
      <c r="G92" s="644"/>
      <c r="H92" s="644"/>
      <c r="I92" s="644"/>
      <c r="P92" s="41"/>
    </row>
    <row r="93" spans="1:16" ht="29.25" customHeight="1">
      <c r="A93" s="141"/>
      <c r="B93" s="141"/>
      <c r="C93" s="292">
        <v>3</v>
      </c>
      <c r="D93" s="276" t="s">
        <v>963</v>
      </c>
      <c r="E93" s="279"/>
      <c r="F93" s="50"/>
      <c r="G93" s="644"/>
      <c r="H93" s="644"/>
      <c r="I93" s="644"/>
      <c r="P93" s="41"/>
    </row>
    <row r="94" spans="1:16" ht="28.5" customHeight="1">
      <c r="A94" s="141"/>
      <c r="B94" s="141"/>
      <c r="C94" s="292">
        <v>2</v>
      </c>
      <c r="D94" s="276" t="s">
        <v>964</v>
      </c>
      <c r="E94" s="279"/>
      <c r="F94" s="50"/>
      <c r="G94" s="643"/>
      <c r="H94" s="643"/>
      <c r="I94" s="643"/>
      <c r="P94" s="41"/>
    </row>
    <row r="95" spans="1:16" ht="16.5" customHeight="1">
      <c r="A95" s="141"/>
      <c r="B95" s="141"/>
      <c r="C95" s="293">
        <v>1</v>
      </c>
      <c r="D95" s="295" t="s">
        <v>961</v>
      </c>
      <c r="E95" s="263"/>
      <c r="F95" s="50"/>
      <c r="G95" s="81"/>
      <c r="H95" s="52"/>
      <c r="I95" s="50"/>
      <c r="P95" s="41"/>
    </row>
    <row r="96" spans="1:16" ht="19.5" thickBot="1">
      <c r="A96" s="141"/>
      <c r="B96" s="141"/>
      <c r="C96" s="862" t="s">
        <v>90</v>
      </c>
      <c r="D96" s="863"/>
      <c r="E96" s="217">
        <f>IF(OR(E91&lt;1,E91&gt;4),"Salah Isi",E91)</f>
        <v>3</v>
      </c>
      <c r="F96" s="50"/>
      <c r="G96" s="81"/>
      <c r="H96" s="52"/>
      <c r="I96" s="50"/>
      <c r="P96" s="41"/>
    </row>
    <row r="97" spans="1:16" ht="19.5" thickBot="1">
      <c r="A97" s="141"/>
      <c r="B97" s="141"/>
      <c r="C97" s="91"/>
      <c r="D97" s="91"/>
      <c r="E97" s="50"/>
      <c r="F97" s="50"/>
      <c r="G97" s="81"/>
      <c r="H97" s="52"/>
      <c r="I97" s="50"/>
      <c r="P97" s="41"/>
    </row>
    <row r="98" spans="1:16" ht="31.5" customHeight="1">
      <c r="A98" s="141">
        <v>14</v>
      </c>
      <c r="B98" s="141" t="s">
        <v>31</v>
      </c>
      <c r="C98" s="843" t="s">
        <v>221</v>
      </c>
      <c r="D98" s="844"/>
      <c r="E98" s="178">
        <v>2.5</v>
      </c>
      <c r="F98" s="154"/>
      <c r="G98" s="845"/>
      <c r="H98" s="846"/>
      <c r="I98" s="847"/>
      <c r="P98" s="41"/>
    </row>
    <row r="99" spans="1:16" ht="55.5" customHeight="1" thickBot="1">
      <c r="A99" s="141"/>
      <c r="B99" s="141"/>
      <c r="C99" s="296">
        <v>4</v>
      </c>
      <c r="D99" s="233" t="s">
        <v>965</v>
      </c>
      <c r="E99" s="251"/>
      <c r="F99" s="154"/>
      <c r="G99" s="848"/>
      <c r="H99" s="849"/>
      <c r="I99" s="850"/>
      <c r="P99" s="41"/>
    </row>
    <row r="100" spans="1:16" ht="55.5" customHeight="1">
      <c r="A100" s="141"/>
      <c r="B100" s="141"/>
      <c r="C100" s="297">
        <v>3</v>
      </c>
      <c r="D100" s="233" t="s">
        <v>967</v>
      </c>
      <c r="E100" s="251"/>
      <c r="F100" s="154"/>
      <c r="G100" s="645"/>
      <c r="H100" s="643"/>
      <c r="I100" s="643"/>
      <c r="P100" s="41"/>
    </row>
    <row r="101" spans="1:16" ht="41.25" customHeight="1">
      <c r="A101" s="141"/>
      <c r="B101" s="141"/>
      <c r="C101" s="297">
        <v>2</v>
      </c>
      <c r="D101" s="233" t="s">
        <v>966</v>
      </c>
      <c r="E101" s="251"/>
      <c r="F101" s="154"/>
      <c r="G101" s="646"/>
      <c r="H101" s="643"/>
      <c r="I101" s="643"/>
      <c r="P101" s="41"/>
    </row>
    <row r="102" spans="1:16" ht="17.25" customHeight="1">
      <c r="A102" s="141"/>
      <c r="B102" s="141"/>
      <c r="C102" s="296">
        <v>1</v>
      </c>
      <c r="D102" s="260" t="s">
        <v>222</v>
      </c>
      <c r="E102" s="251"/>
      <c r="F102" s="154"/>
      <c r="G102" s="645"/>
      <c r="H102" s="643"/>
      <c r="I102" s="643"/>
      <c r="P102" s="41"/>
    </row>
    <row r="103" spans="1:16" ht="19.5" thickBot="1">
      <c r="A103" s="141"/>
      <c r="B103" s="141"/>
      <c r="C103" s="833" t="s">
        <v>90</v>
      </c>
      <c r="D103" s="834"/>
      <c r="E103" s="217">
        <f>IF(OR(E98&lt;1,E98&gt;4),"Salah Isi",E98)</f>
        <v>2.5</v>
      </c>
      <c r="F103" s="50"/>
      <c r="G103" s="647"/>
      <c r="H103" s="647"/>
      <c r="I103" s="647"/>
      <c r="P103" s="41"/>
    </row>
    <row r="104" spans="1:16" ht="19.5" thickBot="1">
      <c r="A104" s="141"/>
      <c r="B104" s="141"/>
      <c r="C104" s="91"/>
      <c r="D104" s="91"/>
      <c r="E104" s="50"/>
      <c r="F104" s="50"/>
      <c r="G104" s="81"/>
      <c r="H104" s="52"/>
      <c r="I104" s="50"/>
      <c r="P104" s="41"/>
    </row>
    <row r="105" spans="1:16" ht="19.5" customHeight="1" thickBot="1">
      <c r="A105" s="141">
        <v>15</v>
      </c>
      <c r="B105" s="141" t="s">
        <v>32</v>
      </c>
      <c r="C105" s="825" t="s">
        <v>223</v>
      </c>
      <c r="D105" s="868"/>
      <c r="E105" s="178">
        <v>3.2</v>
      </c>
      <c r="F105" s="50"/>
      <c r="G105" s="822" t="s">
        <v>805</v>
      </c>
      <c r="H105" s="866"/>
      <c r="I105" s="867"/>
      <c r="P105" s="41"/>
    </row>
    <row r="106" spans="1:16" ht="42" customHeight="1">
      <c r="A106" s="142"/>
      <c r="B106" s="142"/>
      <c r="C106" s="298">
        <v>4</v>
      </c>
      <c r="D106" s="285" t="s">
        <v>224</v>
      </c>
      <c r="E106" s="262"/>
      <c r="F106" s="50"/>
      <c r="G106" s="644"/>
      <c r="H106" s="644"/>
      <c r="I106" s="644"/>
      <c r="P106" s="41"/>
    </row>
    <row r="107" spans="1:16" ht="52.5">
      <c r="A107" s="142"/>
      <c r="B107" s="142"/>
      <c r="C107" s="299">
        <v>3</v>
      </c>
      <c r="D107" s="284" t="s">
        <v>225</v>
      </c>
      <c r="E107" s="267"/>
      <c r="F107" s="50"/>
      <c r="G107" s="644"/>
      <c r="H107" s="644"/>
      <c r="I107" s="644"/>
      <c r="P107" s="41"/>
    </row>
    <row r="108" spans="1:16" ht="41.25" customHeight="1">
      <c r="A108" s="142"/>
      <c r="B108" s="142"/>
      <c r="C108" s="299">
        <v>2</v>
      </c>
      <c r="D108" s="285" t="s">
        <v>226</v>
      </c>
      <c r="E108" s="267"/>
      <c r="F108" s="50"/>
      <c r="G108" s="644"/>
      <c r="H108" s="644"/>
      <c r="I108" s="644"/>
      <c r="P108" s="41"/>
    </row>
    <row r="109" spans="1:16" ht="18.75">
      <c r="A109" s="142"/>
      <c r="B109" s="142"/>
      <c r="C109" s="299">
        <v>1</v>
      </c>
      <c r="D109" s="300" t="s">
        <v>227</v>
      </c>
      <c r="E109" s="251"/>
      <c r="F109" s="50"/>
      <c r="G109" s="644"/>
      <c r="H109" s="644"/>
      <c r="I109" s="644"/>
      <c r="P109" s="41"/>
    </row>
    <row r="110" spans="1:16" ht="19.5" thickBot="1">
      <c r="A110" s="141"/>
      <c r="B110" s="141"/>
      <c r="C110" s="833" t="s">
        <v>90</v>
      </c>
      <c r="D110" s="834"/>
      <c r="E110" s="217">
        <f>IF(OR(E105&lt;1,E105&gt;4),"Salah Isi",E105)</f>
        <v>3.2</v>
      </c>
      <c r="F110" s="56"/>
      <c r="G110" s="81"/>
      <c r="H110" s="52"/>
      <c r="I110" s="50"/>
      <c r="P110" s="41"/>
    </row>
    <row r="111" spans="1:16" ht="19.5" thickBot="1">
      <c r="A111" s="141"/>
      <c r="B111" s="141"/>
      <c r="C111" s="91"/>
      <c r="D111" s="91"/>
      <c r="E111" s="50"/>
      <c r="F111" s="50"/>
      <c r="G111" s="81"/>
      <c r="H111" s="52"/>
      <c r="I111" s="50"/>
      <c r="P111" s="41"/>
    </row>
    <row r="112" spans="1:16" ht="40.5" customHeight="1">
      <c r="A112" s="141">
        <v>16</v>
      </c>
      <c r="B112" s="141" t="s">
        <v>228</v>
      </c>
      <c r="C112" s="843" t="s">
        <v>229</v>
      </c>
      <c r="D112" s="844"/>
      <c r="E112" s="178">
        <v>1.5</v>
      </c>
      <c r="F112" s="50"/>
      <c r="G112" s="845"/>
      <c r="H112" s="846"/>
      <c r="I112" s="847"/>
      <c r="P112" s="41"/>
    </row>
    <row r="113" spans="1:16" ht="56.25" customHeight="1" thickBot="1">
      <c r="A113" s="141"/>
      <c r="B113" s="141"/>
      <c r="C113" s="302">
        <v>4</v>
      </c>
      <c r="D113" s="233" t="s">
        <v>263</v>
      </c>
      <c r="E113" s="278"/>
      <c r="F113" s="50"/>
      <c r="G113" s="848"/>
      <c r="H113" s="849"/>
      <c r="I113" s="850"/>
      <c r="P113" s="41"/>
    </row>
    <row r="114" spans="1:16" ht="42" customHeight="1">
      <c r="A114" s="141"/>
      <c r="B114" s="141"/>
      <c r="C114" s="302">
        <v>3</v>
      </c>
      <c r="D114" s="233" t="s">
        <v>230</v>
      </c>
      <c r="E114" s="279"/>
      <c r="F114" s="50"/>
      <c r="G114" s="644"/>
      <c r="H114" s="644"/>
      <c r="I114" s="644"/>
      <c r="P114" s="41"/>
    </row>
    <row r="115" spans="1:16" ht="39.75" customHeight="1">
      <c r="A115" s="141"/>
      <c r="B115" s="141"/>
      <c r="C115" s="302">
        <v>2</v>
      </c>
      <c r="D115" s="301" t="s">
        <v>231</v>
      </c>
      <c r="E115" s="279"/>
      <c r="F115" s="50"/>
      <c r="G115" s="81"/>
      <c r="H115" s="52"/>
      <c r="I115" s="50"/>
      <c r="P115" s="41"/>
    </row>
    <row r="116" spans="1:16" ht="27.75" customHeight="1">
      <c r="A116" s="141"/>
      <c r="B116" s="141"/>
      <c r="C116" s="302">
        <v>1</v>
      </c>
      <c r="D116" s="301" t="s">
        <v>968</v>
      </c>
      <c r="E116" s="306"/>
      <c r="F116" s="50"/>
      <c r="G116" s="81"/>
      <c r="H116" s="52"/>
      <c r="I116" s="50"/>
      <c r="P116" s="41"/>
    </row>
    <row r="117" spans="1:16" ht="16.5" customHeight="1">
      <c r="A117" s="141"/>
      <c r="B117" s="141"/>
      <c r="C117" s="303">
        <v>0</v>
      </c>
      <c r="D117" s="305" t="s">
        <v>232</v>
      </c>
      <c r="E117" s="304"/>
      <c r="F117" s="50"/>
      <c r="G117" s="81"/>
      <c r="H117" s="52"/>
      <c r="I117" s="50"/>
      <c r="P117" s="41"/>
    </row>
    <row r="118" spans="1:16" ht="19.5" thickBot="1">
      <c r="A118" s="141"/>
      <c r="B118" s="141"/>
      <c r="C118" s="833" t="s">
        <v>90</v>
      </c>
      <c r="D118" s="834"/>
      <c r="E118" s="217">
        <f>IF(OR(E112&lt;0,E112&gt;4),"Salah Isi",E112)</f>
        <v>1.5</v>
      </c>
      <c r="F118" s="56"/>
      <c r="G118" s="81"/>
      <c r="H118" s="52"/>
      <c r="I118" s="50"/>
      <c r="P118" s="41"/>
    </row>
    <row r="119" spans="1:16" ht="19.5" thickBot="1">
      <c r="A119" s="141"/>
      <c r="B119" s="141"/>
      <c r="C119" s="91"/>
      <c r="D119" s="91"/>
      <c r="E119" s="50"/>
      <c r="F119" s="50"/>
      <c r="G119" s="81"/>
      <c r="H119" s="52"/>
      <c r="I119" s="50"/>
      <c r="P119" s="41"/>
    </row>
    <row r="120" spans="1:16" ht="55.5" customHeight="1" thickBot="1">
      <c r="A120" s="142">
        <v>17</v>
      </c>
      <c r="B120" s="142" t="s">
        <v>233</v>
      </c>
      <c r="C120" s="827" t="s">
        <v>234</v>
      </c>
      <c r="D120" s="828"/>
      <c r="E120" s="178">
        <v>3</v>
      </c>
      <c r="G120" s="889"/>
      <c r="H120" s="890"/>
      <c r="I120" s="891"/>
      <c r="P120" s="41"/>
    </row>
    <row r="121" spans="1:16" ht="40.5" customHeight="1">
      <c r="A121" s="142"/>
      <c r="B121" s="142"/>
      <c r="C121" s="308">
        <v>4</v>
      </c>
      <c r="D121" s="630" t="s">
        <v>969</v>
      </c>
      <c r="E121" s="262"/>
      <c r="G121" s="529"/>
      <c r="H121" s="644"/>
      <c r="I121" s="644"/>
      <c r="P121" s="41"/>
    </row>
    <row r="122" spans="1:16" ht="40.5" customHeight="1">
      <c r="A122" s="142"/>
      <c r="B122" s="142"/>
      <c r="C122" s="266">
        <v>3</v>
      </c>
      <c r="D122" s="307" t="s">
        <v>235</v>
      </c>
      <c r="E122" s="267"/>
      <c r="G122" s="529"/>
      <c r="H122" s="644"/>
      <c r="I122" s="644"/>
      <c r="P122" s="41"/>
    </row>
    <row r="123" spans="1:16" ht="40.5" customHeight="1">
      <c r="A123" s="142"/>
      <c r="B123" s="142"/>
      <c r="C123" s="266">
        <v>2</v>
      </c>
      <c r="D123" s="307" t="s">
        <v>236</v>
      </c>
      <c r="E123" s="267"/>
      <c r="G123" s="529"/>
      <c r="H123" s="644"/>
      <c r="I123" s="644"/>
      <c r="P123" s="41"/>
    </row>
    <row r="124" spans="1:16" ht="40.5" customHeight="1">
      <c r="A124" s="142"/>
      <c r="B124" s="142"/>
      <c r="C124" s="266">
        <v>1</v>
      </c>
      <c r="D124" s="307" t="s">
        <v>237</v>
      </c>
      <c r="E124" s="251"/>
      <c r="G124" s="529"/>
      <c r="H124" s="644"/>
      <c r="I124" s="644"/>
      <c r="P124" s="41"/>
    </row>
    <row r="125" spans="1:16" ht="19.5" customHeight="1">
      <c r="A125" s="142"/>
      <c r="B125" s="142"/>
      <c r="C125" s="308">
        <v>0</v>
      </c>
      <c r="D125" s="309" t="s">
        <v>238</v>
      </c>
      <c r="E125" s="251"/>
      <c r="G125" s="529"/>
      <c r="H125" s="644"/>
      <c r="I125" s="644"/>
      <c r="P125" s="41"/>
    </row>
    <row r="126" spans="1:16" ht="19.5" thickBot="1">
      <c r="A126" s="142"/>
      <c r="B126" s="142"/>
      <c r="C126" s="837" t="s">
        <v>90</v>
      </c>
      <c r="D126" s="838"/>
      <c r="E126" s="217">
        <f>IF(OR(E120&lt;0,E120&gt;4),"Salah Isi",E120)</f>
        <v>3</v>
      </c>
      <c r="G126" s="644"/>
      <c r="H126" s="644"/>
      <c r="I126" s="644"/>
      <c r="P126" s="41"/>
    </row>
    <row r="127" spans="1:16" ht="19.5" thickBot="1">
      <c r="A127" s="142"/>
      <c r="B127" s="142"/>
      <c r="C127" s="79"/>
      <c r="D127" s="79"/>
      <c r="G127" s="81"/>
      <c r="H127" s="52"/>
      <c r="I127" s="50"/>
      <c r="P127" s="41"/>
    </row>
    <row r="128" spans="1:16" ht="30" customHeight="1" thickBot="1">
      <c r="A128" s="141">
        <v>18</v>
      </c>
      <c r="B128" s="141" t="s">
        <v>239</v>
      </c>
      <c r="C128" s="827" t="s">
        <v>241</v>
      </c>
      <c r="D128" s="855"/>
      <c r="E128" s="178">
        <v>3.2</v>
      </c>
      <c r="G128" s="822" t="s">
        <v>166</v>
      </c>
      <c r="H128" s="866"/>
      <c r="I128" s="867"/>
      <c r="P128" s="41"/>
    </row>
    <row r="129" spans="1:16" ht="40.5" customHeight="1">
      <c r="A129" s="142"/>
      <c r="B129" s="142"/>
      <c r="C129" s="171">
        <v>4</v>
      </c>
      <c r="D129" s="285" t="s">
        <v>244</v>
      </c>
      <c r="E129" s="278"/>
      <c r="F129" s="50"/>
      <c r="G129" s="644"/>
      <c r="H129" s="644"/>
      <c r="I129" s="644"/>
      <c r="P129" s="41"/>
    </row>
    <row r="130" spans="1:16" ht="39" customHeight="1">
      <c r="A130" s="141"/>
      <c r="B130" s="141"/>
      <c r="C130" s="171">
        <v>3</v>
      </c>
      <c r="D130" s="285" t="s">
        <v>242</v>
      </c>
      <c r="E130" s="279"/>
      <c r="F130" s="50"/>
      <c r="G130" s="644"/>
      <c r="H130" s="644"/>
      <c r="I130" s="644"/>
      <c r="P130" s="41"/>
    </row>
    <row r="131" spans="1:16" ht="38.25">
      <c r="A131" s="141"/>
      <c r="B131" s="141"/>
      <c r="C131" s="293">
        <v>2</v>
      </c>
      <c r="D131" s="285" t="s">
        <v>243</v>
      </c>
      <c r="E131" s="306"/>
      <c r="F131" s="50"/>
      <c r="G131" s="81"/>
      <c r="H131" s="52"/>
      <c r="I131" s="50"/>
      <c r="P131" s="41"/>
    </row>
    <row r="132" spans="1:16" ht="18.75">
      <c r="A132" s="141"/>
      <c r="B132" s="141"/>
      <c r="C132" s="310">
        <v>1</v>
      </c>
      <c r="D132" s="300" t="s">
        <v>245</v>
      </c>
      <c r="E132" s="304"/>
      <c r="F132" s="50"/>
      <c r="G132" s="648"/>
      <c r="H132" s="52"/>
      <c r="I132" s="50"/>
      <c r="P132" s="41"/>
    </row>
    <row r="133" spans="1:16" ht="18.75">
      <c r="A133" s="141"/>
      <c r="B133" s="141"/>
      <c r="C133" s="310">
        <v>0</v>
      </c>
      <c r="D133" s="300" t="s">
        <v>246</v>
      </c>
      <c r="E133" s="304"/>
      <c r="F133" s="50"/>
      <c r="G133" s="81"/>
      <c r="H133" s="52"/>
      <c r="I133" s="50"/>
      <c r="P133" s="41"/>
    </row>
    <row r="134" spans="1:16" ht="19.5" thickBot="1">
      <c r="A134" s="141"/>
      <c r="B134" s="141"/>
      <c r="C134" s="862" t="s">
        <v>90</v>
      </c>
      <c r="D134" s="863"/>
      <c r="E134" s="217">
        <f>IF(OR(E128&lt;0,E128&gt;4),"Salah Isi",E128)</f>
        <v>3.2</v>
      </c>
      <c r="F134" s="56"/>
      <c r="G134" s="81"/>
      <c r="H134" s="52"/>
      <c r="I134" s="50"/>
      <c r="P134" s="41"/>
    </row>
    <row r="135" spans="1:16" ht="19.5" thickBot="1">
      <c r="A135" s="141"/>
      <c r="B135" s="141"/>
      <c r="C135" s="91"/>
      <c r="D135" s="91"/>
      <c r="E135" s="50"/>
      <c r="F135" s="50"/>
      <c r="G135" s="81"/>
      <c r="H135" s="52"/>
      <c r="I135" s="50"/>
      <c r="P135" s="41"/>
    </row>
    <row r="136" spans="1:16" ht="51" customHeight="1" thickBot="1">
      <c r="A136" s="141">
        <v>19</v>
      </c>
      <c r="B136" s="141" t="s">
        <v>240</v>
      </c>
      <c r="C136" s="827" t="s">
        <v>806</v>
      </c>
      <c r="D136" s="828"/>
      <c r="E136" s="84"/>
      <c r="F136" s="50"/>
      <c r="G136" s="876" t="str">
        <f>"Jumlah program studi dengan status akreditasi A = "&amp;E137&amp;", B = "&amp;E138&amp;", C = "&amp;E139&amp;", kadaluwarsa = "&amp;E140&amp;", dan belum terakreditasi = "&amp;E141</f>
        <v>Jumlah program studi dengan status akreditasi A = 3, B = 0, C = 0, kadaluwarsa = 0, dan belum terakreditasi = 0</v>
      </c>
      <c r="H136" s="885"/>
      <c r="I136" s="886"/>
      <c r="P136" s="41"/>
    </row>
    <row r="137" spans="1:16" ht="18.75">
      <c r="A137" s="142"/>
      <c r="B137" s="142"/>
      <c r="C137" s="313" t="s">
        <v>247</v>
      </c>
      <c r="D137" s="311" t="s">
        <v>249</v>
      </c>
      <c r="E137" s="85">
        <v>3</v>
      </c>
      <c r="F137" s="50"/>
      <c r="G137" s="845" t="s">
        <v>971</v>
      </c>
      <c r="H137" s="896"/>
      <c r="I137" s="897"/>
      <c r="P137" s="41"/>
    </row>
    <row r="138" spans="1:16" ht="18.75">
      <c r="A138" s="141"/>
      <c r="B138" s="141"/>
      <c r="C138" s="314" t="s">
        <v>250</v>
      </c>
      <c r="D138" s="311" t="s">
        <v>248</v>
      </c>
      <c r="E138" s="85">
        <v>0</v>
      </c>
      <c r="F138" s="50"/>
      <c r="G138" s="898"/>
      <c r="H138" s="899"/>
      <c r="I138" s="900"/>
      <c r="P138" s="41"/>
    </row>
    <row r="139" spans="1:16" ht="19.5" thickBot="1">
      <c r="A139" s="141"/>
      <c r="B139" s="141"/>
      <c r="C139" s="314" t="s">
        <v>252</v>
      </c>
      <c r="D139" s="311" t="s">
        <v>251</v>
      </c>
      <c r="E139" s="85">
        <v>0</v>
      </c>
      <c r="F139" s="50"/>
      <c r="G139" s="901"/>
      <c r="H139" s="902"/>
      <c r="I139" s="903"/>
      <c r="P139" s="41"/>
    </row>
    <row r="140" spans="1:16" ht="18.75">
      <c r="A140" s="141"/>
      <c r="B140" s="141"/>
      <c r="C140" s="314" t="s">
        <v>254</v>
      </c>
      <c r="D140" s="311" t="s">
        <v>253</v>
      </c>
      <c r="E140" s="85">
        <v>0</v>
      </c>
      <c r="F140" s="50"/>
      <c r="G140" s="82"/>
      <c r="P140" s="41"/>
    </row>
    <row r="141" spans="1:16" ht="18.75">
      <c r="A141" s="141"/>
      <c r="B141" s="141"/>
      <c r="C141" s="313" t="s">
        <v>256</v>
      </c>
      <c r="D141" s="311" t="s">
        <v>255</v>
      </c>
      <c r="E141" s="85">
        <v>0</v>
      </c>
      <c r="F141" s="50"/>
      <c r="G141" s="82"/>
      <c r="P141" s="41"/>
    </row>
    <row r="142" spans="1:16" ht="19.5" customHeight="1">
      <c r="A142" s="141"/>
      <c r="B142" s="141"/>
      <c r="C142" s="498" t="s">
        <v>97</v>
      </c>
      <c r="D142" s="311" t="s">
        <v>970</v>
      </c>
      <c r="E142" s="225">
        <f>E137+E138+E139+E140+E141</f>
        <v>3</v>
      </c>
      <c r="F142" s="50"/>
      <c r="G142" s="82"/>
      <c r="P142" s="41"/>
    </row>
    <row r="143" spans="1:16" ht="18.75">
      <c r="A143" s="141"/>
      <c r="B143" s="141"/>
      <c r="C143" s="892" t="s">
        <v>0</v>
      </c>
      <c r="D143" s="893"/>
      <c r="E143" s="312">
        <f>(4*E137+3*E138+2*E139+E140+E141)/E142</f>
        <v>4</v>
      </c>
      <c r="F143" s="50" t="str">
        <f>IF((E137+E138+E139+E140+E141)=0," Jumlah Program Studi belum di isi","")</f>
        <v/>
      </c>
      <c r="G143" s="82"/>
      <c r="P143" s="41"/>
    </row>
    <row r="144" spans="1:16" ht="19.5" thickBot="1">
      <c r="A144" s="141"/>
      <c r="B144" s="141"/>
      <c r="C144" s="894" t="s">
        <v>90</v>
      </c>
      <c r="D144" s="895"/>
      <c r="E144" s="217">
        <f>E143</f>
        <v>4</v>
      </c>
      <c r="F144" s="56"/>
      <c r="G144" s="82"/>
      <c r="P144" s="41"/>
    </row>
    <row r="145" spans="1:16" ht="19.5" thickBot="1">
      <c r="A145" s="142"/>
      <c r="B145" s="142"/>
      <c r="C145" s="79"/>
      <c r="D145" s="79"/>
      <c r="G145" s="82"/>
      <c r="P145" s="41"/>
    </row>
    <row r="146" spans="1:16" ht="41.25" customHeight="1" thickBot="1">
      <c r="A146" s="142">
        <v>20</v>
      </c>
      <c r="B146" s="142" t="s">
        <v>257</v>
      </c>
      <c r="C146" s="825" t="s">
        <v>258</v>
      </c>
      <c r="D146" s="905"/>
      <c r="E146" s="178">
        <v>1</v>
      </c>
      <c r="G146" s="822" t="s">
        <v>170</v>
      </c>
      <c r="H146" s="866"/>
      <c r="I146" s="867"/>
      <c r="P146" s="41"/>
    </row>
    <row r="147" spans="1:16" ht="20.25" customHeight="1">
      <c r="A147" s="142"/>
      <c r="B147" s="142"/>
      <c r="C147" s="316">
        <v>4</v>
      </c>
      <c r="D147" s="271" t="s">
        <v>259</v>
      </c>
      <c r="E147" s="262"/>
      <c r="G147" s="645"/>
      <c r="H147" s="645"/>
      <c r="I147" s="645"/>
      <c r="P147" s="41"/>
    </row>
    <row r="148" spans="1:16" ht="20.25" customHeight="1">
      <c r="A148" s="142"/>
      <c r="B148" s="142"/>
      <c r="C148" s="272">
        <v>3</v>
      </c>
      <c r="D148" s="271" t="s">
        <v>260</v>
      </c>
      <c r="E148" s="267"/>
      <c r="G148" s="645"/>
      <c r="H148" s="645"/>
      <c r="I148" s="645"/>
      <c r="P148" s="41"/>
    </row>
    <row r="149" spans="1:16" ht="20.25" customHeight="1">
      <c r="A149" s="142"/>
      <c r="B149" s="142"/>
      <c r="C149" s="272">
        <v>2</v>
      </c>
      <c r="D149" s="271" t="s">
        <v>261</v>
      </c>
      <c r="E149" s="267"/>
      <c r="G149" s="645"/>
      <c r="H149" s="645"/>
      <c r="I149" s="645"/>
      <c r="P149" s="41"/>
    </row>
    <row r="150" spans="1:16" ht="20.25" customHeight="1">
      <c r="A150" s="142"/>
      <c r="B150" s="142"/>
      <c r="C150" s="316">
        <v>1</v>
      </c>
      <c r="D150" s="271" t="s">
        <v>262</v>
      </c>
      <c r="E150" s="251"/>
      <c r="G150" s="645"/>
      <c r="H150" s="645"/>
      <c r="I150" s="645"/>
      <c r="P150" s="41"/>
    </row>
    <row r="151" spans="1:16" ht="19.5" thickBot="1">
      <c r="A151" s="142"/>
      <c r="B151" s="142"/>
      <c r="C151" s="837" t="s">
        <v>90</v>
      </c>
      <c r="D151" s="838"/>
      <c r="E151" s="222">
        <f>IF(OR(E146&lt;1,E146&gt;4),"Salah Isi", E146)</f>
        <v>1</v>
      </c>
      <c r="G151" s="644"/>
      <c r="H151" s="644"/>
      <c r="I151" s="644"/>
      <c r="P151" s="41"/>
    </row>
    <row r="152" spans="1:16" ht="17.25" customHeight="1" thickBot="1">
      <c r="A152" s="142"/>
      <c r="B152" s="142"/>
      <c r="C152" s="79"/>
      <c r="D152" s="79"/>
      <c r="G152" s="81"/>
      <c r="H152" s="52"/>
      <c r="I152" s="50"/>
      <c r="P152" s="41"/>
    </row>
    <row r="153" spans="1:16" ht="54.75" customHeight="1" thickBot="1">
      <c r="A153" s="141">
        <v>21</v>
      </c>
      <c r="B153" s="141" t="s">
        <v>264</v>
      </c>
      <c r="C153" s="860" t="s">
        <v>265</v>
      </c>
      <c r="D153" s="861"/>
      <c r="E153" s="178">
        <v>1</v>
      </c>
      <c r="G153" s="822" t="s">
        <v>169</v>
      </c>
      <c r="H153" s="866"/>
      <c r="I153" s="867"/>
      <c r="P153" s="41"/>
    </row>
    <row r="154" spans="1:16" ht="55.5" customHeight="1">
      <c r="A154" s="142"/>
      <c r="B154" s="142"/>
      <c r="C154" s="317">
        <v>4</v>
      </c>
      <c r="D154" s="285" t="s">
        <v>267</v>
      </c>
      <c r="E154" s="319"/>
      <c r="F154" s="50"/>
      <c r="G154" s="644"/>
      <c r="H154" s="644"/>
      <c r="I154" s="644"/>
      <c r="P154" s="41"/>
    </row>
    <row r="155" spans="1:16" ht="51.75" customHeight="1">
      <c r="A155" s="141"/>
      <c r="B155" s="141"/>
      <c r="C155" s="317">
        <v>3</v>
      </c>
      <c r="D155" s="285" t="s">
        <v>268</v>
      </c>
      <c r="E155" s="321"/>
      <c r="F155" s="50"/>
      <c r="G155" s="81"/>
      <c r="H155" s="52"/>
      <c r="I155" s="50"/>
      <c r="P155" s="41"/>
    </row>
    <row r="156" spans="1:16" ht="52.5" customHeight="1">
      <c r="A156" s="141"/>
      <c r="B156" s="141"/>
      <c r="C156" s="317">
        <v>2</v>
      </c>
      <c r="D156" s="285" t="s">
        <v>269</v>
      </c>
      <c r="E156" s="321"/>
      <c r="F156" s="50"/>
      <c r="G156" s="81"/>
      <c r="H156" s="52"/>
      <c r="I156" s="50"/>
      <c r="P156" s="41"/>
    </row>
    <row r="157" spans="1:16" ht="39.75" customHeight="1">
      <c r="A157" s="141"/>
      <c r="B157" s="141"/>
      <c r="C157" s="318">
        <v>1</v>
      </c>
      <c r="D157" s="285" t="s">
        <v>270</v>
      </c>
      <c r="E157" s="320"/>
      <c r="F157" s="50"/>
      <c r="G157" s="81"/>
      <c r="H157" s="52"/>
      <c r="I157" s="50"/>
      <c r="P157" s="41"/>
    </row>
    <row r="158" spans="1:16" ht="19.5" thickBot="1">
      <c r="A158" s="141"/>
      <c r="B158" s="141"/>
      <c r="C158" s="862" t="s">
        <v>90</v>
      </c>
      <c r="D158" s="863"/>
      <c r="E158" s="222">
        <f>IF(OR(E153&lt;1,E153&gt;4),"Salah Isi", E153)</f>
        <v>1</v>
      </c>
      <c r="F158" s="56"/>
      <c r="G158" s="81"/>
      <c r="H158" s="52"/>
      <c r="I158" s="50"/>
      <c r="P158" s="41"/>
    </row>
    <row r="159" spans="1:16" ht="19.5" thickBot="1">
      <c r="A159" s="141"/>
      <c r="B159" s="141"/>
      <c r="C159" s="89"/>
      <c r="D159" s="89"/>
      <c r="E159" s="82"/>
      <c r="F159" s="50"/>
      <c r="G159" s="81"/>
      <c r="H159" s="52"/>
      <c r="I159" s="50"/>
      <c r="P159" s="41"/>
    </row>
    <row r="160" spans="1:16" ht="32.25" customHeight="1" thickBot="1">
      <c r="A160" s="142">
        <v>22</v>
      </c>
      <c r="B160" s="142" t="s">
        <v>271</v>
      </c>
      <c r="C160" s="827" t="s">
        <v>272</v>
      </c>
      <c r="D160" s="828"/>
      <c r="E160" s="178">
        <v>1</v>
      </c>
      <c r="G160" s="822" t="s">
        <v>171</v>
      </c>
      <c r="H160" s="823"/>
      <c r="I160" s="824"/>
      <c r="P160" s="41"/>
    </row>
    <row r="161" spans="1:16" ht="28.5" customHeight="1">
      <c r="A161" s="142"/>
      <c r="B161" s="142"/>
      <c r="C161" s="266">
        <v>4</v>
      </c>
      <c r="D161" s="324" t="s">
        <v>273</v>
      </c>
      <c r="E161" s="262"/>
      <c r="G161" s="645"/>
      <c r="H161" s="643"/>
      <c r="I161" s="643"/>
      <c r="P161" s="41"/>
    </row>
    <row r="162" spans="1:16" ht="27.75" customHeight="1">
      <c r="A162" s="142"/>
      <c r="B162" s="142"/>
      <c r="C162" s="308">
        <v>3</v>
      </c>
      <c r="D162" s="307" t="s">
        <v>274</v>
      </c>
      <c r="E162" s="267"/>
      <c r="G162" s="645"/>
      <c r="H162" s="643"/>
      <c r="I162" s="643"/>
      <c r="P162" s="41"/>
    </row>
    <row r="163" spans="1:16" ht="26.25" customHeight="1">
      <c r="A163" s="142"/>
      <c r="B163" s="142"/>
      <c r="C163" s="266">
        <v>2</v>
      </c>
      <c r="D163" s="307" t="s">
        <v>275</v>
      </c>
      <c r="E163" s="267"/>
      <c r="G163" s="645"/>
      <c r="H163" s="643"/>
      <c r="I163" s="643"/>
      <c r="P163" s="41"/>
    </row>
    <row r="164" spans="1:16" ht="27.75" customHeight="1">
      <c r="A164" s="142"/>
      <c r="B164" s="142"/>
      <c r="C164" s="266">
        <v>1</v>
      </c>
      <c r="D164" s="323" t="s">
        <v>276</v>
      </c>
      <c r="E164" s="251"/>
      <c r="G164" s="645"/>
      <c r="H164" s="643"/>
      <c r="I164" s="643"/>
      <c r="P164" s="41"/>
    </row>
    <row r="165" spans="1:16" ht="19.5" thickBot="1">
      <c r="A165" s="142"/>
      <c r="B165" s="142"/>
      <c r="C165" s="837" t="s">
        <v>90</v>
      </c>
      <c r="D165" s="838"/>
      <c r="E165" s="217">
        <f>IF(OR(E160&lt;1,E160&gt;4),"Salah Isi", E160)</f>
        <v>1</v>
      </c>
      <c r="G165" s="81"/>
      <c r="H165" s="52"/>
      <c r="I165" s="50"/>
      <c r="P165" s="41"/>
    </row>
    <row r="166" spans="1:16" ht="19.5" thickBot="1">
      <c r="A166" s="141"/>
      <c r="B166" s="141"/>
      <c r="C166" s="91"/>
      <c r="D166" s="91"/>
      <c r="E166" s="50"/>
      <c r="F166" s="50"/>
      <c r="G166" s="81"/>
      <c r="H166" s="52"/>
      <c r="I166" s="50"/>
      <c r="P166" s="41"/>
    </row>
    <row r="167" spans="1:16" ht="30" customHeight="1" thickBot="1">
      <c r="A167" s="142">
        <v>23</v>
      </c>
      <c r="B167" s="142" t="s">
        <v>277</v>
      </c>
      <c r="C167" s="860" t="s">
        <v>279</v>
      </c>
      <c r="D167" s="861"/>
      <c r="E167" s="328"/>
      <c r="G167" s="796" t="str">
        <f>"Jumlah propinsi asal mahasiswa = "&amp;E168</f>
        <v>Jumlah propinsi asal mahasiswa = 7</v>
      </c>
      <c r="H167" s="874"/>
      <c r="I167" s="875"/>
      <c r="P167" s="41"/>
    </row>
    <row r="168" spans="1:16" ht="18" customHeight="1" thickBot="1">
      <c r="A168" s="142"/>
      <c r="B168" s="142"/>
      <c r="C168" s="325" t="s">
        <v>278</v>
      </c>
      <c r="D168" s="326" t="s">
        <v>280</v>
      </c>
      <c r="E168" s="327">
        <v>7</v>
      </c>
      <c r="G168" s="822" t="s">
        <v>172</v>
      </c>
      <c r="H168" s="823"/>
      <c r="I168" s="824"/>
      <c r="P168" s="41"/>
    </row>
    <row r="169" spans="1:16" ht="19.5" thickBot="1">
      <c r="A169" s="142"/>
      <c r="B169" s="142"/>
      <c r="C169" s="837" t="s">
        <v>90</v>
      </c>
      <c r="D169" s="838"/>
      <c r="E169" s="217">
        <f>IF(E168=0,"Salah isi", IF(E168&gt;=7,4,(5+E168)/3))</f>
        <v>4</v>
      </c>
      <c r="G169" s="81"/>
      <c r="H169" s="52"/>
      <c r="I169" s="50"/>
      <c r="P169" s="41"/>
    </row>
    <row r="170" spans="1:16" ht="19.5" thickBot="1">
      <c r="A170" s="142"/>
      <c r="B170" s="142"/>
      <c r="C170" s="79"/>
      <c r="D170" s="79"/>
      <c r="G170" s="81"/>
      <c r="H170" s="52"/>
      <c r="I170" s="50"/>
      <c r="P170" s="41"/>
    </row>
    <row r="171" spans="1:16" ht="48" customHeight="1" thickBot="1">
      <c r="A171" s="142">
        <v>24</v>
      </c>
      <c r="B171" s="142" t="s">
        <v>281</v>
      </c>
      <c r="C171" s="827" t="s">
        <v>1001</v>
      </c>
      <c r="D171" s="904"/>
      <c r="E171" s="330"/>
      <c r="G171" s="908" t="str">
        <f>"Jumlah mahasiswa dari semua jenjang pendidikan yang ikut seleksi (Kolom 3) ="&amp;E172&amp; ", Jumlah mahasiswa lulus seleksi (Kolom 4) = " &amp;E173&amp; ", sehingga rasio ="&amp;ROUND(E174,2)</f>
        <v>Jumlah mahasiswa dari semua jenjang pendidikan yang ikut seleksi (Kolom 3) =16420, Jumlah mahasiswa lulus seleksi (Kolom 4) = 300, sehingga rasio =54.73</v>
      </c>
      <c r="H171" s="874"/>
      <c r="I171" s="875"/>
      <c r="P171" s="41"/>
    </row>
    <row r="172" spans="1:16" ht="25.5" customHeight="1">
      <c r="A172" s="142"/>
      <c r="B172" s="142"/>
      <c r="C172" s="437" t="s">
        <v>283</v>
      </c>
      <c r="D172" s="672" t="s">
        <v>285</v>
      </c>
      <c r="E172" s="327">
        <v>16420</v>
      </c>
      <c r="G172" s="887">
        <v>123</v>
      </c>
      <c r="H172" s="820"/>
      <c r="I172" s="821"/>
      <c r="P172" s="41"/>
    </row>
    <row r="173" spans="1:16" ht="27" customHeight="1" thickBot="1">
      <c r="A173" s="142"/>
      <c r="B173" s="142"/>
      <c r="C173" s="437" t="s">
        <v>284</v>
      </c>
      <c r="D173" s="678" t="s">
        <v>999</v>
      </c>
      <c r="E173" s="327">
        <v>300</v>
      </c>
      <c r="G173" s="802"/>
      <c r="H173" s="803"/>
      <c r="I173" s="804"/>
      <c r="P173" s="41"/>
    </row>
    <row r="174" spans="1:16" ht="19.5" customHeight="1">
      <c r="A174" s="142"/>
      <c r="B174" s="142"/>
      <c r="C174" s="388"/>
      <c r="D174" s="305" t="s">
        <v>990</v>
      </c>
      <c r="E174" s="227">
        <f>E172/E173</f>
        <v>54.733333333333334</v>
      </c>
      <c r="G174" s="644"/>
      <c r="H174" s="644"/>
      <c r="I174" s="644"/>
      <c r="P174" s="41"/>
    </row>
    <row r="175" spans="1:16" ht="19.5" thickBot="1">
      <c r="A175" s="142"/>
      <c r="B175" s="142"/>
      <c r="C175" s="837" t="s">
        <v>90</v>
      </c>
      <c r="D175" s="838"/>
      <c r="E175" s="217">
        <f>IF(E174&gt;=5,4,IF(AND(E174&gt;1,E174&lt;5),(3+E174)/2,2*E174))</f>
        <v>4</v>
      </c>
      <c r="G175" s="644"/>
      <c r="H175" s="644"/>
      <c r="I175" s="644"/>
      <c r="P175" s="41"/>
    </row>
    <row r="176" spans="1:16" ht="19.5" thickBot="1">
      <c r="A176" s="142"/>
      <c r="B176" s="142"/>
      <c r="C176" s="79"/>
      <c r="D176" s="79"/>
      <c r="G176" s="81"/>
      <c r="H176" s="52"/>
      <c r="I176" s="50"/>
      <c r="P176" s="41"/>
    </row>
    <row r="177" spans="1:16" ht="57" customHeight="1" thickBot="1">
      <c r="A177" s="142">
        <v>25</v>
      </c>
      <c r="B177" s="142" t="s">
        <v>286</v>
      </c>
      <c r="C177" s="827" t="s">
        <v>287</v>
      </c>
      <c r="D177" s="904"/>
      <c r="E177" s="330"/>
      <c r="G177" s="796" t="str">
        <f>"Jumlah mahasiswa dari semua jenjang pendidikan yang lulus seleksi (Kolom 4)= "&amp;E178&amp; ", Jumlah mahasiswa baru bukan transfer dari semua jenjang pendidikan (Kolom 5) = "&amp;E179&amp; ", sehingga rasio = "&amp;ROUND(E180,2)</f>
        <v>Jumlah mahasiswa dari semua jenjang pendidikan yang lulus seleksi (Kolom 4)= 300, Jumlah mahasiswa baru bukan transfer dari semua jenjang pendidikan (Kolom 5) = 10492, sehingga rasio = 34.97</v>
      </c>
      <c r="H177" s="797"/>
      <c r="I177" s="798"/>
      <c r="P177" s="41"/>
    </row>
    <row r="178" spans="1:16" ht="27.75" customHeight="1">
      <c r="A178" s="142"/>
      <c r="B178" s="142"/>
      <c r="C178" s="308" t="s">
        <v>250</v>
      </c>
      <c r="D178" s="307" t="s">
        <v>282</v>
      </c>
      <c r="E178" s="736">
        <f>E173</f>
        <v>300</v>
      </c>
      <c r="G178" s="790" t="s">
        <v>992</v>
      </c>
      <c r="H178" s="791"/>
      <c r="I178" s="792"/>
      <c r="P178" s="41"/>
    </row>
    <row r="179" spans="1:16" ht="28.5" customHeight="1" thickBot="1">
      <c r="A179" s="142"/>
      <c r="B179" s="142"/>
      <c r="C179" s="266" t="s">
        <v>252</v>
      </c>
      <c r="D179" s="307" t="s">
        <v>288</v>
      </c>
      <c r="E179" s="327">
        <v>10492</v>
      </c>
      <c r="G179" s="793"/>
      <c r="H179" s="794"/>
      <c r="I179" s="795"/>
      <c r="P179" s="41"/>
    </row>
    <row r="180" spans="1:16" ht="18" customHeight="1">
      <c r="A180" s="142"/>
      <c r="B180" s="142"/>
      <c r="C180" s="329"/>
      <c r="D180" s="315" t="s">
        <v>289</v>
      </c>
      <c r="E180" s="227">
        <f>E179/E178</f>
        <v>34.973333333333336</v>
      </c>
      <c r="G180" s="529"/>
      <c r="H180" s="644"/>
      <c r="I180" s="644"/>
      <c r="P180" s="41"/>
    </row>
    <row r="181" spans="1:16" ht="19.5" thickBot="1">
      <c r="A181" s="142"/>
      <c r="B181" s="142"/>
      <c r="C181" s="837" t="s">
        <v>90</v>
      </c>
      <c r="D181" s="838"/>
      <c r="E181" s="222">
        <f>IF(E180&gt;=0.95,4,IF(AND(E180&gt;0.25,E180&lt;0.95),(40*E180-10)/7,0))</f>
        <v>4</v>
      </c>
      <c r="G181" s="644"/>
      <c r="H181" s="644"/>
      <c r="I181" s="644"/>
      <c r="P181" s="41"/>
    </row>
    <row r="182" spans="1:16" ht="19.5" thickBot="1">
      <c r="A182" s="142"/>
      <c r="B182" s="142"/>
      <c r="C182" s="79"/>
      <c r="D182" s="79"/>
      <c r="G182" s="81"/>
      <c r="H182" s="52"/>
      <c r="I182" s="50"/>
      <c r="P182" s="41"/>
    </row>
    <row r="183" spans="1:16" ht="60.75" customHeight="1" thickBot="1">
      <c r="A183" s="142">
        <v>26</v>
      </c>
      <c r="B183" s="142" t="s">
        <v>290</v>
      </c>
      <c r="C183" s="827" t="s">
        <v>291</v>
      </c>
      <c r="D183" s="904"/>
      <c r="E183" s="330"/>
      <c r="G183" s="796" t="str">
        <f>"Jumlah mahasiswa baru bukan transfer dari semua jenjang pendidikan (Kolom 5)= "&amp;E184&amp;", Jumlah mahasiswa baru  transfer dari semua jenjang pendidikan (Kolom 6) = "&amp;E185&amp; ", sehingga rasio = "&amp;ROUND(E186,2)</f>
        <v>Jumlah mahasiswa baru bukan transfer dari semua jenjang pendidikan (Kolom 5)= 10492, Jumlah mahasiswa baru  transfer dari semua jenjang pendidikan (Kolom 6) = 40, sehingga rasio = 0</v>
      </c>
      <c r="H183" s="797"/>
      <c r="I183" s="798"/>
      <c r="P183" s="41"/>
    </row>
    <row r="184" spans="1:16" ht="28.5" customHeight="1">
      <c r="A184" s="142"/>
      <c r="B184" s="142"/>
      <c r="C184" s="308" t="s">
        <v>252</v>
      </c>
      <c r="D184" s="309" t="s">
        <v>288</v>
      </c>
      <c r="E184" s="736">
        <f>E179</f>
        <v>10492</v>
      </c>
      <c r="G184" s="790" t="s">
        <v>992</v>
      </c>
      <c r="H184" s="791"/>
      <c r="I184" s="792"/>
      <c r="P184" s="41"/>
    </row>
    <row r="185" spans="1:16" ht="28.5" customHeight="1" thickBot="1">
      <c r="A185" s="142"/>
      <c r="B185" s="142"/>
      <c r="C185" s="266" t="s">
        <v>293</v>
      </c>
      <c r="D185" s="307" t="s">
        <v>292</v>
      </c>
      <c r="E185" s="327">
        <v>40</v>
      </c>
      <c r="G185" s="793"/>
      <c r="H185" s="794"/>
      <c r="I185" s="795"/>
      <c r="P185" s="41"/>
    </row>
    <row r="186" spans="1:16" ht="18.75" customHeight="1">
      <c r="A186" s="142"/>
      <c r="B186" s="142"/>
      <c r="C186" s="329"/>
      <c r="D186" s="307" t="s">
        <v>294</v>
      </c>
      <c r="E186" s="227">
        <f>E185/E184</f>
        <v>3.812428516965307E-3</v>
      </c>
      <c r="G186" s="529"/>
      <c r="H186" s="644"/>
      <c r="I186" s="644"/>
      <c r="P186" s="41"/>
    </row>
    <row r="187" spans="1:16" ht="19.5" thickBot="1">
      <c r="A187" s="142"/>
      <c r="B187" s="142"/>
      <c r="C187" s="837" t="s">
        <v>90</v>
      </c>
      <c r="D187" s="838"/>
      <c r="E187" s="217">
        <f>IF(E186&lt;=0.25,4,IF(AND(E186&gt;0.25,E186&lt;1.25),5-4*E186,0))</f>
        <v>4</v>
      </c>
      <c r="G187" s="644"/>
      <c r="H187" s="644"/>
      <c r="I187" s="644"/>
      <c r="P187" s="41"/>
    </row>
    <row r="188" spans="1:16" ht="19.5" thickBot="1">
      <c r="A188" s="142"/>
      <c r="B188" s="142"/>
      <c r="C188" s="136"/>
      <c r="D188" s="136"/>
      <c r="G188" s="81"/>
      <c r="H188" s="52"/>
      <c r="I188" s="50"/>
      <c r="P188" s="41"/>
    </row>
    <row r="189" spans="1:16" ht="27" customHeight="1" thickBot="1">
      <c r="A189" s="141">
        <v>27</v>
      </c>
      <c r="B189" s="141" t="s">
        <v>296</v>
      </c>
      <c r="C189" s="860" t="s">
        <v>295</v>
      </c>
      <c r="D189" s="861"/>
      <c r="E189" s="178">
        <v>3</v>
      </c>
      <c r="F189" s="50"/>
      <c r="G189" s="871" t="s">
        <v>173</v>
      </c>
      <c r="H189" s="872"/>
      <c r="I189" s="873"/>
      <c r="P189" s="41"/>
    </row>
    <row r="190" spans="1:16" ht="28.5" customHeight="1">
      <c r="A190" s="142"/>
      <c r="B190" s="142"/>
      <c r="C190" s="171">
        <v>4</v>
      </c>
      <c r="D190" s="285" t="s">
        <v>297</v>
      </c>
      <c r="E190" s="334"/>
      <c r="F190" s="50"/>
      <c r="G190" s="644"/>
      <c r="H190" s="644"/>
      <c r="I190" s="644"/>
      <c r="P190" s="41"/>
    </row>
    <row r="191" spans="1:16" ht="27.75" customHeight="1">
      <c r="A191" s="141"/>
      <c r="B191" s="141"/>
      <c r="C191" s="171">
        <v>3</v>
      </c>
      <c r="D191" s="285" t="s">
        <v>298</v>
      </c>
      <c r="E191" s="336"/>
      <c r="F191" s="50"/>
      <c r="G191" s="81"/>
      <c r="H191" s="52"/>
      <c r="I191" s="50"/>
      <c r="P191" s="41"/>
    </row>
    <row r="192" spans="1:16" ht="30" customHeight="1">
      <c r="A192" s="141"/>
      <c r="B192" s="141"/>
      <c r="C192" s="331">
        <v>2</v>
      </c>
      <c r="D192" s="285" t="s">
        <v>300</v>
      </c>
      <c r="E192" s="336"/>
      <c r="F192" s="50"/>
      <c r="G192" s="81"/>
      <c r="H192" s="52"/>
      <c r="I192" s="50"/>
      <c r="P192" s="41"/>
    </row>
    <row r="193" spans="1:16" ht="29.25" customHeight="1">
      <c r="A193" s="141"/>
      <c r="B193" s="141"/>
      <c r="C193" s="331">
        <v>1</v>
      </c>
      <c r="D193" s="333" t="s">
        <v>299</v>
      </c>
      <c r="E193" s="335"/>
      <c r="F193" s="50"/>
      <c r="G193" s="81"/>
      <c r="H193" s="52"/>
      <c r="I193" s="50"/>
      <c r="P193" s="41"/>
    </row>
    <row r="194" spans="1:16" ht="19.5" thickBot="1">
      <c r="A194" s="141"/>
      <c r="B194" s="141"/>
      <c r="C194" s="862" t="s">
        <v>90</v>
      </c>
      <c r="D194" s="863"/>
      <c r="E194" s="217">
        <f>IF(OR(E189&lt;1,E189&gt;4),"Salah Isi", E189)</f>
        <v>3</v>
      </c>
      <c r="F194" s="56"/>
      <c r="G194" s="81"/>
      <c r="H194" s="52"/>
      <c r="I194" s="50"/>
      <c r="P194" s="41"/>
    </row>
    <row r="195" spans="1:16" ht="19.5" thickBot="1">
      <c r="A195" s="142"/>
      <c r="B195" s="142"/>
      <c r="C195" s="136"/>
      <c r="D195" s="136"/>
      <c r="G195" s="81"/>
      <c r="H195" s="52"/>
      <c r="I195" s="50"/>
      <c r="P195" s="41"/>
    </row>
    <row r="196" spans="1:16" ht="28.5" customHeight="1" thickBot="1">
      <c r="A196" s="141">
        <v>28</v>
      </c>
      <c r="B196" s="141" t="s">
        <v>302</v>
      </c>
      <c r="C196" s="860" t="s">
        <v>301</v>
      </c>
      <c r="D196" s="861"/>
      <c r="E196" s="178">
        <v>4</v>
      </c>
      <c r="F196" s="50"/>
      <c r="G196" s="822" t="s">
        <v>173</v>
      </c>
      <c r="H196" s="866"/>
      <c r="I196" s="867"/>
      <c r="P196" s="41"/>
    </row>
    <row r="197" spans="1:16" ht="51.75" customHeight="1">
      <c r="A197" s="142"/>
      <c r="B197" s="142"/>
      <c r="C197" s="171">
        <v>4</v>
      </c>
      <c r="D197" s="285" t="s">
        <v>303</v>
      </c>
      <c r="E197" s="334"/>
      <c r="F197" s="50"/>
      <c r="G197" s="644"/>
      <c r="H197" s="644"/>
      <c r="I197" s="644"/>
      <c r="N197" s="884"/>
      <c r="O197" s="884"/>
    </row>
    <row r="198" spans="1:16" ht="54.75" customHeight="1">
      <c r="A198" s="141"/>
      <c r="B198" s="141"/>
      <c r="C198" s="171">
        <v>3</v>
      </c>
      <c r="D198" s="337" t="s">
        <v>304</v>
      </c>
      <c r="E198" s="336"/>
      <c r="F198" s="55"/>
      <c r="G198" s="81"/>
      <c r="H198" s="52"/>
      <c r="I198" s="50"/>
      <c r="N198" s="884"/>
      <c r="O198" s="884"/>
    </row>
    <row r="199" spans="1:16" ht="53.25" customHeight="1">
      <c r="A199" s="141"/>
      <c r="B199" s="141"/>
      <c r="C199" s="331">
        <v>2</v>
      </c>
      <c r="D199" s="285" t="s">
        <v>307</v>
      </c>
      <c r="E199" s="336"/>
      <c r="F199" s="55"/>
      <c r="G199" s="81"/>
      <c r="H199" s="52"/>
      <c r="I199" s="50"/>
      <c r="N199" s="241"/>
      <c r="O199" s="241"/>
    </row>
    <row r="200" spans="1:16" ht="28.5" customHeight="1">
      <c r="A200" s="141"/>
      <c r="B200" s="141"/>
      <c r="C200" s="331">
        <v>1</v>
      </c>
      <c r="D200" s="337" t="s">
        <v>305</v>
      </c>
      <c r="E200" s="336"/>
      <c r="F200" s="55"/>
      <c r="G200" s="81"/>
      <c r="H200" s="52"/>
      <c r="I200" s="50"/>
      <c r="N200" s="241"/>
      <c r="O200" s="241"/>
    </row>
    <row r="201" spans="1:16" ht="20.25" customHeight="1">
      <c r="A201" s="141"/>
      <c r="B201" s="141"/>
      <c r="C201" s="331">
        <v>0</v>
      </c>
      <c r="D201" s="338" t="s">
        <v>306</v>
      </c>
      <c r="E201" s="339"/>
      <c r="F201" s="55"/>
      <c r="G201" s="81"/>
      <c r="H201" s="52"/>
      <c r="I201" s="50"/>
      <c r="N201" s="241"/>
      <c r="O201" s="241"/>
    </row>
    <row r="202" spans="1:16" ht="15.75" thickBot="1">
      <c r="A202" s="141"/>
      <c r="B202" s="141"/>
      <c r="C202" s="862" t="s">
        <v>90</v>
      </c>
      <c r="D202" s="863"/>
      <c r="E202" s="217">
        <f>IF(OR(E196&lt;0,E196&gt;4),"Salah Isi", E196)</f>
        <v>4</v>
      </c>
      <c r="F202" s="56"/>
      <c r="G202" s="81"/>
      <c r="H202" s="52"/>
      <c r="I202" s="50"/>
    </row>
    <row r="203" spans="1:16" ht="15.75" thickBot="1">
      <c r="A203" s="141"/>
      <c r="B203" s="141"/>
      <c r="C203" s="91"/>
      <c r="D203" s="91"/>
      <c r="E203" s="50"/>
      <c r="F203" s="50"/>
      <c r="G203" s="81"/>
      <c r="H203" s="52"/>
      <c r="I203" s="50"/>
    </row>
    <row r="204" spans="1:16" ht="42" customHeight="1" thickBot="1">
      <c r="A204" s="141">
        <v>29</v>
      </c>
      <c r="B204" s="141" t="s">
        <v>308</v>
      </c>
      <c r="C204" s="827" t="s">
        <v>309</v>
      </c>
      <c r="D204" s="855"/>
      <c r="E204" s="178">
        <v>4</v>
      </c>
      <c r="F204" s="50"/>
      <c r="G204" s="822" t="s">
        <v>174</v>
      </c>
      <c r="H204" s="866"/>
      <c r="I204" s="867"/>
    </row>
    <row r="205" spans="1:16" ht="18" customHeight="1">
      <c r="A205" s="142"/>
      <c r="B205" s="142"/>
      <c r="C205" s="171">
        <v>4</v>
      </c>
      <c r="D205" s="285" t="s">
        <v>311</v>
      </c>
      <c r="E205" s="334"/>
      <c r="F205" s="50"/>
      <c r="G205" s="644"/>
      <c r="H205" s="644"/>
      <c r="I205" s="644"/>
    </row>
    <row r="206" spans="1:16" ht="25.5">
      <c r="A206" s="142"/>
      <c r="B206" s="142"/>
      <c r="C206" s="171">
        <v>3</v>
      </c>
      <c r="D206" s="285" t="s">
        <v>310</v>
      </c>
      <c r="E206" s="336"/>
      <c r="F206" s="50"/>
      <c r="G206" s="644"/>
      <c r="H206" s="644"/>
      <c r="I206" s="644"/>
    </row>
    <row r="207" spans="1:16" ht="26.25">
      <c r="A207" s="141"/>
      <c r="B207" s="141"/>
      <c r="C207" s="171">
        <v>2</v>
      </c>
      <c r="D207" s="332" t="s">
        <v>312</v>
      </c>
      <c r="E207" s="336"/>
      <c r="F207" s="50"/>
      <c r="G207" s="644"/>
      <c r="H207" s="644"/>
      <c r="I207" s="644"/>
    </row>
    <row r="208" spans="1:16" ht="26.25">
      <c r="A208" s="141"/>
      <c r="B208" s="141"/>
      <c r="C208" s="331">
        <v>1</v>
      </c>
      <c r="D208" s="332" t="s">
        <v>313</v>
      </c>
      <c r="E208" s="336"/>
      <c r="F208" s="50"/>
      <c r="G208" s="644"/>
      <c r="H208" s="644"/>
      <c r="I208" s="644"/>
    </row>
    <row r="209" spans="1:9">
      <c r="A209" s="141"/>
      <c r="B209" s="141"/>
      <c r="C209" s="331">
        <v>0</v>
      </c>
      <c r="D209" s="340" t="s">
        <v>314</v>
      </c>
      <c r="E209" s="339"/>
      <c r="F209" s="50"/>
      <c r="G209" s="644"/>
      <c r="H209" s="644"/>
      <c r="I209" s="644"/>
    </row>
    <row r="210" spans="1:9" ht="15.75" thickBot="1">
      <c r="A210" s="141"/>
      <c r="B210" s="141"/>
      <c r="C210" s="862" t="s">
        <v>90</v>
      </c>
      <c r="D210" s="888"/>
      <c r="E210" s="217">
        <f>IF(OR(E204&lt;0,E204&gt;4),"Salah Isi", E204)</f>
        <v>4</v>
      </c>
      <c r="F210" s="56"/>
      <c r="G210" s="81"/>
      <c r="H210" s="52"/>
      <c r="I210" s="50"/>
    </row>
    <row r="211" spans="1:9" ht="15.75" thickBot="1">
      <c r="A211" s="141"/>
      <c r="B211" s="141"/>
      <c r="C211" s="91"/>
      <c r="D211" s="91"/>
      <c r="E211" s="50"/>
      <c r="F211" s="50"/>
      <c r="G211" s="81"/>
      <c r="H211" s="52"/>
      <c r="I211" s="50"/>
    </row>
    <row r="212" spans="1:9" ht="27.75" customHeight="1" thickBot="1">
      <c r="A212" s="141">
        <v>30</v>
      </c>
      <c r="B212" s="141" t="s">
        <v>315</v>
      </c>
      <c r="C212" s="827" t="s">
        <v>316</v>
      </c>
      <c r="D212" s="828"/>
      <c r="E212" s="178">
        <v>4</v>
      </c>
      <c r="F212" s="50"/>
      <c r="G212" s="822" t="s">
        <v>175</v>
      </c>
      <c r="H212" s="866"/>
      <c r="I212" s="867"/>
    </row>
    <row r="213" spans="1:9" ht="40.5" customHeight="1">
      <c r="A213" s="141"/>
      <c r="B213" s="141"/>
      <c r="C213" s="322">
        <v>4</v>
      </c>
      <c r="D213" s="323" t="s">
        <v>320</v>
      </c>
      <c r="E213" s="280"/>
      <c r="F213" s="50"/>
      <c r="G213" s="529"/>
      <c r="H213" s="644"/>
      <c r="I213" s="644"/>
    </row>
    <row r="214" spans="1:9" ht="28.5" customHeight="1">
      <c r="A214" s="141"/>
      <c r="B214" s="141"/>
      <c r="C214" s="322">
        <v>3</v>
      </c>
      <c r="D214" s="307" t="s">
        <v>319</v>
      </c>
      <c r="E214" s="280"/>
      <c r="F214" s="50"/>
      <c r="G214" s="529"/>
      <c r="H214" s="644"/>
      <c r="I214" s="644"/>
    </row>
    <row r="215" spans="1:9" ht="27.75" customHeight="1">
      <c r="A215" s="141"/>
      <c r="B215" s="141"/>
      <c r="C215" s="322">
        <v>2</v>
      </c>
      <c r="D215" s="307" t="s">
        <v>318</v>
      </c>
      <c r="E215" s="280"/>
      <c r="F215" s="50"/>
      <c r="G215" s="529"/>
      <c r="H215" s="644"/>
      <c r="I215" s="644"/>
    </row>
    <row r="216" spans="1:9" ht="27.75" customHeight="1">
      <c r="A216" s="141"/>
      <c r="B216" s="141"/>
      <c r="C216" s="322">
        <v>1</v>
      </c>
      <c r="D216" s="323" t="s">
        <v>317</v>
      </c>
      <c r="E216" s="280"/>
      <c r="F216" s="50"/>
      <c r="G216" s="529"/>
      <c r="H216" s="644"/>
      <c r="I216" s="644"/>
    </row>
    <row r="217" spans="1:9" ht="15.75" thickBot="1">
      <c r="A217" s="141"/>
      <c r="B217" s="141"/>
      <c r="C217" s="93" t="s">
        <v>90</v>
      </c>
      <c r="D217" s="94"/>
      <c r="E217" s="217">
        <f>IF(OR(E212&lt;1,E212&gt;4),"Salah Isi", E212)</f>
        <v>4</v>
      </c>
      <c r="F217" s="56"/>
      <c r="G217" s="644"/>
      <c r="H217" s="644"/>
      <c r="I217" s="644"/>
    </row>
    <row r="218" spans="1:9" ht="15.75" thickBot="1">
      <c r="A218" s="141"/>
      <c r="B218" s="141"/>
      <c r="C218" s="91"/>
      <c r="D218" s="91"/>
      <c r="E218" s="50"/>
      <c r="F218" s="50"/>
      <c r="G218" s="81"/>
      <c r="H218" s="52"/>
      <c r="I218" s="50"/>
    </row>
    <row r="219" spans="1:9" ht="29.25" customHeight="1" thickBot="1">
      <c r="A219" s="141">
        <v>31</v>
      </c>
      <c r="B219" s="141" t="s">
        <v>321</v>
      </c>
      <c r="C219" s="827" t="s">
        <v>322</v>
      </c>
      <c r="D219" s="828"/>
      <c r="E219" s="178">
        <v>4</v>
      </c>
      <c r="F219" s="50"/>
      <c r="G219" s="822" t="s">
        <v>176</v>
      </c>
      <c r="H219" s="866"/>
      <c r="I219" s="867"/>
    </row>
    <row r="220" spans="1:9" ht="51" customHeight="1">
      <c r="A220" s="112"/>
      <c r="B220" s="112"/>
      <c r="C220" s="298">
        <v>4</v>
      </c>
      <c r="D220" s="342" t="s">
        <v>324</v>
      </c>
      <c r="E220" s="278"/>
      <c r="F220" s="50"/>
      <c r="G220" s="644"/>
      <c r="H220" s="644"/>
      <c r="I220" s="644"/>
    </row>
    <row r="221" spans="1:9" ht="51.75" customHeight="1">
      <c r="A221" s="142"/>
      <c r="B221" s="142"/>
      <c r="C221" s="171">
        <v>3</v>
      </c>
      <c r="D221" s="285" t="s">
        <v>325</v>
      </c>
      <c r="E221" s="279"/>
      <c r="F221" s="50"/>
      <c r="G221" s="644"/>
      <c r="H221" s="644"/>
      <c r="I221" s="644"/>
    </row>
    <row r="222" spans="1:9" ht="39.75" customHeight="1">
      <c r="A222" s="141"/>
      <c r="B222" s="141"/>
      <c r="C222" s="290">
        <v>2</v>
      </c>
      <c r="D222" s="285" t="s">
        <v>326</v>
      </c>
      <c r="E222" s="306"/>
      <c r="F222" s="50"/>
      <c r="G222" s="81"/>
      <c r="H222" s="52"/>
      <c r="I222" s="50"/>
    </row>
    <row r="223" spans="1:9" ht="26.25">
      <c r="A223" s="141"/>
      <c r="B223" s="141"/>
      <c r="C223" s="331">
        <v>1</v>
      </c>
      <c r="D223" s="341" t="s">
        <v>323</v>
      </c>
      <c r="E223" s="304"/>
      <c r="F223" s="50"/>
      <c r="G223" s="81"/>
      <c r="H223" s="52"/>
      <c r="I223" s="50"/>
    </row>
    <row r="224" spans="1:9" ht="15.75" thickBot="1">
      <c r="A224" s="141"/>
      <c r="B224" s="141"/>
      <c r="C224" s="879" t="s">
        <v>90</v>
      </c>
      <c r="D224" s="834"/>
      <c r="E224" s="217">
        <f>IF(OR(E219&lt;1,E219&gt;4),"Salah Isi", E219)</f>
        <v>4</v>
      </c>
      <c r="F224" s="50"/>
      <c r="G224" s="81"/>
      <c r="H224" s="52"/>
      <c r="I224" s="50"/>
    </row>
    <row r="225" spans="1:9" ht="15.75" thickBot="1">
      <c r="A225" s="141"/>
      <c r="B225" s="141"/>
      <c r="C225" s="91"/>
      <c r="D225" s="91"/>
      <c r="E225" s="50"/>
      <c r="F225" s="50"/>
      <c r="G225" s="81"/>
      <c r="H225" s="52"/>
      <c r="I225" s="50"/>
    </row>
    <row r="226" spans="1:9" ht="60" customHeight="1" thickBot="1">
      <c r="A226" s="141">
        <v>32</v>
      </c>
      <c r="B226" s="141" t="s">
        <v>327</v>
      </c>
      <c r="C226" s="860" t="s">
        <v>328</v>
      </c>
      <c r="D226" s="861"/>
      <c r="E226" s="83"/>
      <c r="F226" s="50"/>
      <c r="G226" s="796" t="str">
        <f>"Jumlah penghargaan tingkat propinsi/wilayah = "&amp;E227&amp;", Jumlah penghargaan tingkat nasional = "&amp;E228&amp; ", Jumlah penghargaan tingkat internasional = "&amp;E229&amp; ", Jumlah semua program studi = "&amp;E230&amp; ", sehingga skor = "&amp;ROUND(E231,2)</f>
        <v>Jumlah penghargaan tingkat propinsi/wilayah = 0, Jumlah penghargaan tingkat nasional = 4, Jumlah penghargaan tingkat internasional = 0, Jumlah semua program studi = 5, sehingga skor = 2.4</v>
      </c>
      <c r="H226" s="797"/>
      <c r="I226" s="798"/>
    </row>
    <row r="227" spans="1:9" ht="17.25" customHeight="1">
      <c r="A227" s="141"/>
      <c r="B227" s="141"/>
      <c r="C227" s="346" t="s">
        <v>247</v>
      </c>
      <c r="D227" s="343" t="s">
        <v>329</v>
      </c>
      <c r="E227" s="348">
        <v>0</v>
      </c>
      <c r="F227" s="78"/>
      <c r="G227" s="790" t="s">
        <v>992</v>
      </c>
      <c r="H227" s="791"/>
      <c r="I227" s="792"/>
    </row>
    <row r="228" spans="1:9" ht="17.25" customHeight="1" thickBot="1">
      <c r="A228" s="141"/>
      <c r="B228" s="141"/>
      <c r="C228" s="346" t="s">
        <v>250</v>
      </c>
      <c r="D228" s="343" t="s">
        <v>330</v>
      </c>
      <c r="E228" s="348">
        <v>4</v>
      </c>
      <c r="F228" s="158"/>
      <c r="G228" s="793"/>
      <c r="H228" s="794"/>
      <c r="I228" s="795"/>
    </row>
    <row r="229" spans="1:9" ht="18" customHeight="1">
      <c r="A229" s="141"/>
      <c r="B229" s="141"/>
      <c r="C229" s="345" t="s">
        <v>252</v>
      </c>
      <c r="D229" s="344" t="s">
        <v>331</v>
      </c>
      <c r="E229" s="349">
        <v>0</v>
      </c>
      <c r="F229" s="158"/>
      <c r="G229" s="81"/>
      <c r="H229" s="52"/>
      <c r="I229" s="50"/>
    </row>
    <row r="230" spans="1:9" ht="16.5" customHeight="1">
      <c r="A230" s="141"/>
      <c r="B230" s="141"/>
      <c r="C230" s="345" t="s">
        <v>97</v>
      </c>
      <c r="D230" s="344" t="s">
        <v>332</v>
      </c>
      <c r="E230" s="349">
        <v>5</v>
      </c>
      <c r="F230" s="158" t="str">
        <f>IF(E230=0,"&lt;-- Salah!  Harus di isi","")</f>
        <v/>
      </c>
      <c r="G230" s="81"/>
      <c r="H230" s="52"/>
      <c r="I230" s="50"/>
    </row>
    <row r="231" spans="1:9" ht="16.5" customHeight="1">
      <c r="A231" s="141"/>
      <c r="B231" s="141"/>
      <c r="C231" s="829" t="s">
        <v>0</v>
      </c>
      <c r="D231" s="830"/>
      <c r="E231" s="227">
        <f>(2*E227+3*E228+4*E229)/E230</f>
        <v>2.4</v>
      </c>
      <c r="F231" s="158"/>
      <c r="G231" s="81"/>
      <c r="H231" s="52"/>
      <c r="I231" s="50"/>
    </row>
    <row r="232" spans="1:9" ht="15.75" thickBot="1">
      <c r="A232" s="141"/>
      <c r="B232" s="141"/>
      <c r="C232" s="880" t="s">
        <v>90</v>
      </c>
      <c r="D232" s="881"/>
      <c r="E232" s="217">
        <f>IF(E231&gt;=4,4,E231)</f>
        <v>2.4</v>
      </c>
      <c r="F232" s="78"/>
      <c r="G232" s="81"/>
      <c r="H232" s="52"/>
      <c r="I232" s="50"/>
    </row>
    <row r="233" spans="1:9" ht="15.75" thickBot="1">
      <c r="A233" s="141"/>
      <c r="B233" s="141"/>
      <c r="C233" s="91"/>
      <c r="D233" s="91"/>
      <c r="E233" s="50"/>
      <c r="F233" s="50"/>
      <c r="G233" s="81"/>
      <c r="H233" s="52"/>
      <c r="I233" s="50"/>
    </row>
    <row r="234" spans="1:9" ht="29.25" customHeight="1" thickBot="1">
      <c r="A234" s="141">
        <v>33</v>
      </c>
      <c r="B234" s="141" t="s">
        <v>333</v>
      </c>
      <c r="C234" s="831" t="s">
        <v>334</v>
      </c>
      <c r="D234" s="832"/>
      <c r="E234" s="178">
        <v>4</v>
      </c>
      <c r="F234" s="50"/>
      <c r="G234" s="822" t="s">
        <v>177</v>
      </c>
      <c r="H234" s="866"/>
      <c r="I234" s="867"/>
    </row>
    <row r="235" spans="1:9" ht="41.25" customHeight="1">
      <c r="A235" s="141"/>
      <c r="B235" s="141"/>
      <c r="C235" s="350">
        <v>4</v>
      </c>
      <c r="D235" s="333" t="s">
        <v>335</v>
      </c>
      <c r="E235" s="351"/>
      <c r="F235" s="50"/>
      <c r="G235" s="644"/>
      <c r="H235" s="644"/>
      <c r="I235" s="644"/>
    </row>
    <row r="236" spans="1:9" ht="39.75" customHeight="1">
      <c r="A236" s="141"/>
      <c r="B236" s="141"/>
      <c r="C236" s="350">
        <v>3</v>
      </c>
      <c r="D236" s="333" t="s">
        <v>336</v>
      </c>
      <c r="E236" s="353"/>
      <c r="F236" s="50"/>
      <c r="G236" s="644"/>
      <c r="H236" s="644"/>
      <c r="I236" s="644"/>
    </row>
    <row r="237" spans="1:9" ht="38.25" customHeight="1">
      <c r="A237" s="141"/>
      <c r="B237" s="141"/>
      <c r="C237" s="350">
        <v>2</v>
      </c>
      <c r="D237" s="333" t="s">
        <v>337</v>
      </c>
      <c r="E237" s="353"/>
      <c r="F237" s="50"/>
      <c r="G237" s="644"/>
      <c r="H237" s="644"/>
      <c r="I237" s="644"/>
    </row>
    <row r="238" spans="1:9" ht="17.25" customHeight="1">
      <c r="A238" s="141"/>
      <c r="B238" s="141"/>
      <c r="C238" s="350">
        <v>1</v>
      </c>
      <c r="D238" s="285" t="s">
        <v>338</v>
      </c>
      <c r="E238" s="353"/>
      <c r="F238" s="50"/>
      <c r="G238" s="644"/>
      <c r="H238" s="644"/>
      <c r="I238" s="644"/>
    </row>
    <row r="239" spans="1:9" ht="16.5" customHeight="1">
      <c r="A239" s="141"/>
      <c r="B239" s="141"/>
      <c r="C239" s="350">
        <v>0</v>
      </c>
      <c r="D239" s="333" t="s">
        <v>339</v>
      </c>
      <c r="E239" s="352"/>
      <c r="F239" s="50"/>
      <c r="G239" s="644"/>
      <c r="H239" s="644"/>
      <c r="I239" s="644"/>
    </row>
    <row r="240" spans="1:9" ht="15.75" thickBot="1">
      <c r="A240" s="141"/>
      <c r="B240" s="141"/>
      <c r="C240" s="833" t="s">
        <v>90</v>
      </c>
      <c r="D240" s="834"/>
      <c r="E240" s="217">
        <f>IF(OR(E234&lt;0,E234&gt;4),"Salah Isi", E234)</f>
        <v>4</v>
      </c>
      <c r="F240" s="56"/>
      <c r="G240" s="81"/>
      <c r="H240" s="52"/>
      <c r="I240" s="50"/>
    </row>
    <row r="241" spans="1:9" ht="15.75" thickBot="1">
      <c r="A241" s="141"/>
      <c r="B241" s="141"/>
      <c r="C241" s="91"/>
      <c r="D241" s="91"/>
      <c r="E241" s="50"/>
      <c r="F241" s="50"/>
      <c r="G241" s="81"/>
      <c r="H241" s="52"/>
      <c r="I241" s="50"/>
    </row>
    <row r="242" spans="1:9" ht="28.5" customHeight="1" thickBot="1">
      <c r="A242" s="141">
        <v>34</v>
      </c>
      <c r="B242" s="141" t="s">
        <v>17</v>
      </c>
      <c r="C242" s="827" t="s">
        <v>340</v>
      </c>
      <c r="D242" s="828"/>
      <c r="E242" s="84"/>
      <c r="F242" s="50"/>
      <c r="G242" s="822" t="s">
        <v>178</v>
      </c>
      <c r="H242" s="866"/>
      <c r="I242" s="867"/>
    </row>
    <row r="243" spans="1:9">
      <c r="A243" s="142"/>
      <c r="B243" s="142"/>
      <c r="C243" s="354" t="s">
        <v>341</v>
      </c>
      <c r="D243" s="226" t="s">
        <v>345</v>
      </c>
      <c r="E243" s="347">
        <v>24</v>
      </c>
      <c r="F243" s="50"/>
      <c r="G243" s="644"/>
      <c r="H243" s="644"/>
      <c r="I243" s="644"/>
    </row>
    <row r="244" spans="1:9">
      <c r="A244" s="141"/>
      <c r="B244" s="141"/>
      <c r="C244" s="354" t="s">
        <v>355</v>
      </c>
      <c r="D244" s="226" t="s">
        <v>369</v>
      </c>
      <c r="E244" s="347">
        <v>1</v>
      </c>
      <c r="F244" s="50"/>
      <c r="G244" s="81"/>
      <c r="H244" s="52"/>
      <c r="I244" s="50"/>
    </row>
    <row r="245" spans="1:9">
      <c r="A245" s="141" t="s">
        <v>116</v>
      </c>
      <c r="B245" s="141"/>
      <c r="C245" s="354" t="s">
        <v>362</v>
      </c>
      <c r="D245" s="226" t="s">
        <v>376</v>
      </c>
      <c r="E245" s="347">
        <v>9</v>
      </c>
      <c r="F245" s="50"/>
      <c r="G245" s="81"/>
      <c r="H245" s="52"/>
      <c r="I245" s="50"/>
    </row>
    <row r="246" spans="1:9">
      <c r="A246" s="141"/>
      <c r="B246" s="141"/>
      <c r="C246" s="354" t="s">
        <v>342</v>
      </c>
      <c r="D246" s="226" t="s">
        <v>346</v>
      </c>
      <c r="E246" s="358"/>
      <c r="F246" s="50"/>
      <c r="G246" s="81"/>
      <c r="H246" s="52"/>
      <c r="I246" s="50"/>
    </row>
    <row r="247" spans="1:9">
      <c r="A247" s="141"/>
      <c r="B247" s="141"/>
      <c r="C247" s="356" t="s">
        <v>356</v>
      </c>
      <c r="D247" s="355" t="s">
        <v>370</v>
      </c>
      <c r="E247" s="359"/>
      <c r="F247" s="50"/>
      <c r="G247" s="81"/>
      <c r="H247" s="52"/>
      <c r="I247" s="50"/>
    </row>
    <row r="248" spans="1:9">
      <c r="A248" s="141"/>
      <c r="B248" s="141"/>
      <c r="C248" s="356" t="s">
        <v>363</v>
      </c>
      <c r="D248" s="355" t="s">
        <v>377</v>
      </c>
      <c r="E248" s="359"/>
      <c r="F248" s="50"/>
      <c r="G248" s="81"/>
      <c r="H248" s="52"/>
      <c r="I248" s="50"/>
    </row>
    <row r="249" spans="1:9">
      <c r="A249" s="141"/>
      <c r="B249" s="141"/>
      <c r="C249" s="357" t="s">
        <v>343</v>
      </c>
      <c r="D249" s="355" t="s">
        <v>347</v>
      </c>
      <c r="E249" s="359"/>
      <c r="F249" s="50"/>
      <c r="G249" s="81"/>
      <c r="H249" s="52"/>
      <c r="I249" s="50"/>
    </row>
    <row r="250" spans="1:9">
      <c r="A250" s="141"/>
      <c r="B250" s="141"/>
      <c r="C250" s="356" t="s">
        <v>357</v>
      </c>
      <c r="D250" s="355" t="s">
        <v>371</v>
      </c>
      <c r="E250" s="359"/>
      <c r="F250" s="50"/>
      <c r="G250" s="81"/>
      <c r="H250" s="52"/>
      <c r="I250" s="50"/>
    </row>
    <row r="251" spans="1:9">
      <c r="A251" s="141"/>
      <c r="B251" s="141"/>
      <c r="C251" s="356" t="s">
        <v>364</v>
      </c>
      <c r="D251" s="355" t="s">
        <v>378</v>
      </c>
      <c r="E251" s="359"/>
      <c r="F251" s="50"/>
      <c r="G251" s="81"/>
      <c r="H251" s="52"/>
      <c r="I251" s="50"/>
    </row>
    <row r="252" spans="1:9">
      <c r="A252" s="141"/>
      <c r="B252" s="141"/>
      <c r="C252" s="356" t="s">
        <v>344</v>
      </c>
      <c r="D252" s="355" t="s">
        <v>348</v>
      </c>
      <c r="E252" s="359"/>
      <c r="F252" s="50"/>
      <c r="G252" s="81"/>
      <c r="H252" s="52"/>
      <c r="I252" s="50"/>
    </row>
    <row r="253" spans="1:9">
      <c r="A253" s="141"/>
      <c r="B253" s="141"/>
      <c r="C253" s="356" t="s">
        <v>358</v>
      </c>
      <c r="D253" s="355" t="s">
        <v>372</v>
      </c>
      <c r="E253" s="359"/>
      <c r="F253" s="50"/>
      <c r="G253" s="81"/>
      <c r="H253" s="52"/>
      <c r="I253" s="50"/>
    </row>
    <row r="254" spans="1:9">
      <c r="A254" s="141"/>
      <c r="B254" s="141"/>
      <c r="C254" s="356" t="s">
        <v>365</v>
      </c>
      <c r="D254" s="355" t="s">
        <v>379</v>
      </c>
      <c r="E254" s="359"/>
      <c r="F254" s="50"/>
      <c r="G254" s="81"/>
      <c r="H254" s="52"/>
      <c r="I254" s="50"/>
    </row>
    <row r="255" spans="1:9">
      <c r="A255" s="141"/>
      <c r="B255" s="141"/>
      <c r="C255" s="356" t="s">
        <v>349</v>
      </c>
      <c r="D255" s="355" t="s">
        <v>350</v>
      </c>
      <c r="E255" s="359">
        <v>8</v>
      </c>
      <c r="F255" s="50"/>
      <c r="G255" s="81"/>
      <c r="H255" s="52"/>
      <c r="I255" s="50"/>
    </row>
    <row r="256" spans="1:9">
      <c r="A256" s="141"/>
      <c r="B256" s="141"/>
      <c r="C256" s="356" t="s">
        <v>359</v>
      </c>
      <c r="D256" s="355" t="s">
        <v>373</v>
      </c>
      <c r="E256" s="359">
        <v>0</v>
      </c>
      <c r="F256" s="50"/>
      <c r="G256" s="81"/>
      <c r="H256" s="52"/>
      <c r="I256" s="50"/>
    </row>
    <row r="257" spans="1:9">
      <c r="A257" s="141"/>
      <c r="B257" s="141"/>
      <c r="C257" s="356" t="s">
        <v>366</v>
      </c>
      <c r="D257" s="355" t="s">
        <v>380</v>
      </c>
      <c r="E257" s="359">
        <v>4</v>
      </c>
      <c r="F257" s="50"/>
      <c r="G257" s="81"/>
      <c r="H257" s="52"/>
      <c r="I257" s="50"/>
    </row>
    <row r="258" spans="1:9">
      <c r="A258" s="141"/>
      <c r="B258" s="141"/>
      <c r="C258" s="356" t="s">
        <v>351</v>
      </c>
      <c r="D258" s="355" t="s">
        <v>352</v>
      </c>
      <c r="E258" s="359"/>
      <c r="F258" s="50"/>
      <c r="G258" s="81"/>
      <c r="H258" s="52"/>
      <c r="I258" s="50"/>
    </row>
    <row r="259" spans="1:9">
      <c r="A259" s="141"/>
      <c r="B259" s="141"/>
      <c r="C259" s="356" t="s">
        <v>360</v>
      </c>
      <c r="D259" s="355" t="s">
        <v>374</v>
      </c>
      <c r="E259" s="359"/>
      <c r="F259" s="50"/>
      <c r="G259" s="81"/>
      <c r="H259" s="52"/>
      <c r="I259" s="649"/>
    </row>
    <row r="260" spans="1:9">
      <c r="A260" s="141"/>
      <c r="B260" s="141"/>
      <c r="C260" s="356" t="s">
        <v>367</v>
      </c>
      <c r="D260" s="355" t="s">
        <v>381</v>
      </c>
      <c r="E260" s="359"/>
      <c r="F260" s="50"/>
      <c r="G260" s="81"/>
      <c r="H260" s="52"/>
      <c r="I260" s="50"/>
    </row>
    <row r="261" spans="1:9">
      <c r="A261" s="141"/>
      <c r="B261" s="141"/>
      <c r="C261" s="356" t="s">
        <v>353</v>
      </c>
      <c r="D261" s="355" t="s">
        <v>354</v>
      </c>
      <c r="E261" s="359"/>
      <c r="F261" s="50"/>
      <c r="G261" s="81"/>
      <c r="H261" s="52"/>
      <c r="I261" s="50"/>
    </row>
    <row r="262" spans="1:9">
      <c r="A262" s="141"/>
      <c r="B262" s="141"/>
      <c r="C262" s="356" t="s">
        <v>361</v>
      </c>
      <c r="D262" s="355" t="s">
        <v>375</v>
      </c>
      <c r="E262" s="359"/>
      <c r="F262" s="50"/>
      <c r="G262" s="81"/>
      <c r="H262" s="52"/>
      <c r="I262" s="50"/>
    </row>
    <row r="263" spans="1:9">
      <c r="A263" s="141"/>
      <c r="B263" s="141"/>
      <c r="C263" s="357" t="s">
        <v>368</v>
      </c>
      <c r="D263" s="355" t="s">
        <v>382</v>
      </c>
      <c r="E263" s="359"/>
      <c r="F263" s="50"/>
      <c r="G263" s="81"/>
      <c r="H263" s="52"/>
      <c r="I263" s="50"/>
    </row>
    <row r="264" spans="1:9">
      <c r="A264" s="141"/>
      <c r="B264" s="141"/>
      <c r="C264" s="882" t="s">
        <v>0</v>
      </c>
      <c r="D264" s="883"/>
      <c r="E264" s="360">
        <f>((E243+E246+E249+E252+E255+E258+E261)-(E244+E247+E250+E253+E256+E259+E262)-(E245+E248+E251+E254+E257+E260+E263))/(E243+E246+E249+E252+E255+E258+E261)</f>
        <v>0.5625</v>
      </c>
      <c r="F264" s="50"/>
      <c r="G264" s="81"/>
      <c r="H264" s="52"/>
      <c r="I264" s="50"/>
    </row>
    <row r="265" spans="1:9" ht="15.75" thickBot="1">
      <c r="A265" s="141"/>
      <c r="B265" s="141"/>
      <c r="C265" s="835" t="s">
        <v>90</v>
      </c>
      <c r="D265" s="836"/>
      <c r="E265" s="217">
        <f>IF(E264&lt;=0.06,4,IF(AND(E264&gt;0.06,E264&lt;0.45),(180-400*E264)/39,0))</f>
        <v>0</v>
      </c>
      <c r="F265" s="56"/>
      <c r="G265" s="81"/>
      <c r="H265" s="52"/>
      <c r="I265" s="50"/>
    </row>
    <row r="266" spans="1:9" ht="15.75" thickBot="1">
      <c r="A266" s="141"/>
      <c r="B266" s="141"/>
      <c r="C266" s="137"/>
      <c r="D266" s="137"/>
      <c r="E266" s="50"/>
      <c r="F266" s="50"/>
      <c r="G266" s="81"/>
      <c r="H266" s="52"/>
      <c r="I266" s="50"/>
    </row>
    <row r="267" spans="1:9" ht="19.5" customHeight="1" thickBot="1">
      <c r="A267" s="134">
        <v>35</v>
      </c>
      <c r="B267" s="135" t="s">
        <v>18</v>
      </c>
      <c r="C267" s="843" t="s">
        <v>383</v>
      </c>
      <c r="D267" s="844"/>
      <c r="E267" s="83"/>
      <c r="F267" s="50"/>
      <c r="G267" s="822" t="s">
        <v>179</v>
      </c>
      <c r="H267" s="823"/>
      <c r="I267" s="824"/>
    </row>
    <row r="268" spans="1:9" ht="17.25" customHeight="1">
      <c r="A268" s="141"/>
      <c r="B268" s="141"/>
      <c r="C268" s="354" t="s">
        <v>384</v>
      </c>
      <c r="D268" s="282" t="s">
        <v>398</v>
      </c>
      <c r="E268" s="347">
        <v>23</v>
      </c>
      <c r="F268" s="50"/>
      <c r="G268" s="82"/>
    </row>
    <row r="269" spans="1:9">
      <c r="A269" s="141"/>
      <c r="B269" s="141"/>
      <c r="C269" s="354" t="s">
        <v>385</v>
      </c>
      <c r="D269" s="226" t="s">
        <v>405</v>
      </c>
      <c r="E269" s="347">
        <v>15</v>
      </c>
      <c r="F269" s="50"/>
      <c r="G269" s="82"/>
    </row>
    <row r="270" spans="1:9">
      <c r="A270" s="141"/>
      <c r="B270" s="141"/>
      <c r="C270" s="354" t="s">
        <v>386</v>
      </c>
      <c r="D270" s="226" t="s">
        <v>399</v>
      </c>
      <c r="E270" s="347">
        <v>0</v>
      </c>
      <c r="F270" s="50"/>
      <c r="G270" s="82"/>
    </row>
    <row r="271" spans="1:9">
      <c r="A271" s="141"/>
      <c r="B271" s="141"/>
      <c r="C271" s="354" t="s">
        <v>387</v>
      </c>
      <c r="D271" s="226" t="s">
        <v>407</v>
      </c>
      <c r="E271" s="347">
        <v>0</v>
      </c>
      <c r="F271" s="50"/>
      <c r="G271" s="82"/>
    </row>
    <row r="272" spans="1:9">
      <c r="A272" s="141"/>
      <c r="B272" s="141"/>
      <c r="C272" s="354" t="s">
        <v>388</v>
      </c>
      <c r="D272" s="226" t="s">
        <v>400</v>
      </c>
      <c r="E272" s="347">
        <v>0</v>
      </c>
      <c r="F272" s="50"/>
      <c r="G272" s="82"/>
    </row>
    <row r="273" spans="1:9">
      <c r="A273" s="141"/>
      <c r="B273" s="141"/>
      <c r="C273" s="354" t="s">
        <v>389</v>
      </c>
      <c r="D273" s="226" t="s">
        <v>408</v>
      </c>
      <c r="E273" s="347">
        <v>3</v>
      </c>
      <c r="F273" s="50"/>
      <c r="G273" s="82"/>
    </row>
    <row r="274" spans="1:9">
      <c r="A274" s="141"/>
      <c r="B274" s="141"/>
      <c r="C274" s="354" t="s">
        <v>390</v>
      </c>
      <c r="D274" s="226" t="s">
        <v>401</v>
      </c>
      <c r="E274" s="347">
        <v>0</v>
      </c>
      <c r="F274" s="50"/>
      <c r="G274" s="82"/>
    </row>
    <row r="275" spans="1:9">
      <c r="A275" s="141"/>
      <c r="B275" s="141"/>
      <c r="C275" s="354" t="s">
        <v>391</v>
      </c>
      <c r="D275" s="226" t="s">
        <v>409</v>
      </c>
      <c r="E275" s="347">
        <v>0</v>
      </c>
      <c r="F275" s="50"/>
      <c r="G275" s="82"/>
    </row>
    <row r="276" spans="1:9">
      <c r="A276" s="141"/>
      <c r="B276" s="141"/>
      <c r="C276" s="354" t="s">
        <v>392</v>
      </c>
      <c r="D276" s="226" t="s">
        <v>404</v>
      </c>
      <c r="E276" s="347">
        <v>16</v>
      </c>
      <c r="F276" s="50"/>
      <c r="G276" s="82"/>
    </row>
    <row r="277" spans="1:9">
      <c r="A277" s="141"/>
      <c r="B277" s="141"/>
      <c r="C277" s="354" t="s">
        <v>393</v>
      </c>
      <c r="D277" s="226" t="s">
        <v>410</v>
      </c>
      <c r="E277" s="347">
        <v>13</v>
      </c>
      <c r="F277" s="50"/>
      <c r="G277" s="82"/>
    </row>
    <row r="278" spans="1:9">
      <c r="A278" s="141"/>
      <c r="B278" s="141"/>
      <c r="C278" s="354" t="s">
        <v>394</v>
      </c>
      <c r="D278" s="226" t="s">
        <v>403</v>
      </c>
      <c r="E278" s="347">
        <v>0</v>
      </c>
      <c r="F278" s="50"/>
      <c r="G278" s="82"/>
    </row>
    <row r="279" spans="1:9">
      <c r="A279" s="141"/>
      <c r="B279" s="141"/>
      <c r="C279" s="354" t="s">
        <v>395</v>
      </c>
      <c r="D279" s="226" t="s">
        <v>411</v>
      </c>
      <c r="E279" s="347">
        <v>0</v>
      </c>
      <c r="F279" s="50"/>
      <c r="G279" s="82"/>
    </row>
    <row r="280" spans="1:9">
      <c r="A280" s="141"/>
      <c r="B280" s="141"/>
      <c r="C280" s="354" t="s">
        <v>396</v>
      </c>
      <c r="D280" s="226" t="s">
        <v>402</v>
      </c>
      <c r="E280" s="347">
        <v>0</v>
      </c>
      <c r="F280" s="50"/>
      <c r="G280" s="82"/>
    </row>
    <row r="281" spans="1:9">
      <c r="A281" s="141"/>
      <c r="B281" s="141"/>
      <c r="C281" s="354" t="s">
        <v>397</v>
      </c>
      <c r="D281" s="226" t="s">
        <v>406</v>
      </c>
      <c r="E281" s="347">
        <v>0</v>
      </c>
      <c r="F281" s="50"/>
      <c r="G281" s="82"/>
    </row>
    <row r="282" spans="1:9" ht="17.25" customHeight="1">
      <c r="A282" s="141"/>
      <c r="B282" s="141"/>
      <c r="C282" s="919" t="s">
        <v>0</v>
      </c>
      <c r="D282" s="920"/>
      <c r="E282" s="224">
        <f>(E269+E271+E273+E275+E277+E279+E281)/(E268+E270+E272+E274+E276+E278+E280)</f>
        <v>0.79487179487179482</v>
      </c>
      <c r="F282" s="50"/>
      <c r="G282" s="82"/>
    </row>
    <row r="283" spans="1:9" ht="15.75" thickBot="1">
      <c r="A283" s="141"/>
      <c r="B283" s="141"/>
      <c r="C283" s="833" t="s">
        <v>90</v>
      </c>
      <c r="D283" s="834"/>
      <c r="E283" s="217">
        <f>IF(E282&gt;=0.5,4,IF(AND(E282&gt;0,E282&lt;0.5),(1+6*E282),0))</f>
        <v>4</v>
      </c>
      <c r="F283" s="56"/>
      <c r="G283" s="82"/>
    </row>
    <row r="284" spans="1:9" ht="15.75" thickBot="1">
      <c r="A284" s="141"/>
      <c r="B284" s="141"/>
      <c r="C284" s="137"/>
      <c r="D284" s="137"/>
      <c r="E284" s="50"/>
      <c r="F284" s="50"/>
      <c r="G284" s="82"/>
    </row>
    <row r="285" spans="1:9" ht="45.75" customHeight="1" thickBot="1">
      <c r="A285" s="730">
        <v>36</v>
      </c>
      <c r="B285" s="141" t="s">
        <v>412</v>
      </c>
      <c r="C285" s="921" t="s">
        <v>420</v>
      </c>
      <c r="D285" s="922"/>
      <c r="E285" s="396">
        <f>(F297+F307+F317+F327+F337+F347+F357)/(E290+E300+E310+E320+E330+E340+E350)</f>
        <v>1.3066666666666666</v>
      </c>
      <c r="F285" s="50"/>
      <c r="G285" s="876" t="str">
        <f>"Rata-rata lama studi lulusan S3 = "&amp;ROUND(E297,2)&amp;" tahun, S2 = "&amp;ROUND(E307,2)&amp;" tahun, S1 = "&amp;ROUND(E317,2)&amp; " tahun, D4 = "&amp;ROUND(E327,2)&amp;" tahun, D3 = "&amp;ROUND(E337,2)&amp;" tahun, D2 = "&amp;ROUND(E347,2)&amp;" tahun, D1 = "&amp;ROUND(E357,2)&amp;" tahun"</f>
        <v>Rata-rata lama studi lulusan S3 = 0 tahun, S2 = 0 tahun, S1 = 5.04 tahun, D4 = 0 tahun, D3 = 0 tahun, D2 = 0 tahun, D1 = 0 tahun</v>
      </c>
      <c r="H285" s="877"/>
      <c r="I285" s="878"/>
    </row>
    <row r="286" spans="1:9" s="392" customFormat="1" ht="18.75" customHeight="1" thickBot="1">
      <c r="A286" s="393"/>
      <c r="B286" s="393"/>
      <c r="C286" s="394"/>
      <c r="D286" s="395"/>
      <c r="E286" s="382"/>
      <c r="F286" s="54"/>
      <c r="G286" s="645"/>
      <c r="H286" s="643"/>
      <c r="I286" s="643"/>
    </row>
    <row r="287" spans="1:9" ht="30.75" customHeight="1" thickBot="1">
      <c r="A287" s="141">
        <v>37</v>
      </c>
      <c r="B287" s="141" t="s">
        <v>419</v>
      </c>
      <c r="C287" s="917" t="s">
        <v>421</v>
      </c>
      <c r="D287" s="918"/>
      <c r="E287" s="397">
        <f>(F298+F308+F318+F328+F338+F348+F358)/(E290+E300+E310+E320+E330+E340+E350)</f>
        <v>3.91</v>
      </c>
      <c r="F287" s="50"/>
      <c r="G287" s="876" t="str">
        <f>"Rata-rata IPK lulusan S3 = "&amp;ROUND(E298,2)&amp;", S2 = "&amp;ROUND(E308,2)&amp;", S1 = "&amp;ROUND(E318,2)&amp;", D4 = "&amp;ROUND(E328,2)&amp;", D3 = "&amp;ROUND(E338,2)&amp;", D2 = "&amp;ROUND(E348,2)&amp;", D1 = "&amp;ROUND(E358,2)</f>
        <v>Rata-rata IPK lulusan S3 = 0, S2 = 0, S1 = 2.96, D4 = 0, D3 = 3.13, D2 = 0, D1 = 0</v>
      </c>
      <c r="H287" s="877"/>
      <c r="I287" s="878"/>
    </row>
    <row r="288" spans="1:9">
      <c r="A288" s="141"/>
      <c r="B288" s="141"/>
      <c r="C288" s="132"/>
      <c r="D288" s="132"/>
      <c r="E288" s="382"/>
      <c r="F288" s="50"/>
      <c r="G288" s="82"/>
    </row>
    <row r="289" spans="1:17" ht="15.75" thickBot="1">
      <c r="A289" s="141"/>
      <c r="B289" s="141"/>
      <c r="C289" s="381" t="s">
        <v>415</v>
      </c>
      <c r="D289" s="138"/>
      <c r="E289" s="50"/>
      <c r="F289" s="50"/>
      <c r="G289" s="82"/>
    </row>
    <row r="290" spans="1:17" ht="40.5" customHeight="1" thickBot="1">
      <c r="A290" s="361"/>
      <c r="B290" s="361"/>
      <c r="C290" s="915" t="s">
        <v>425</v>
      </c>
      <c r="D290" s="916"/>
      <c r="E290" s="732">
        <f>IF(SUM(E291:E296)&gt;0,1,0)</f>
        <v>0</v>
      </c>
      <c r="F290" s="386" t="s">
        <v>0</v>
      </c>
      <c r="G290" s="379" t="s">
        <v>416</v>
      </c>
      <c r="H290" s="362"/>
      <c r="I290" s="362"/>
      <c r="J290" s="362"/>
      <c r="M290"/>
      <c r="N290"/>
      <c r="O290"/>
      <c r="P290"/>
      <c r="Q290"/>
    </row>
    <row r="291" spans="1:17">
      <c r="A291" s="361"/>
      <c r="B291" s="361"/>
      <c r="C291" s="363" t="s">
        <v>1003</v>
      </c>
      <c r="D291" s="364" t="s">
        <v>413</v>
      </c>
      <c r="E291" s="377">
        <v>0</v>
      </c>
      <c r="F291" s="375"/>
      <c r="G291" s="365"/>
      <c r="H291" s="362"/>
      <c r="I291" s="362"/>
      <c r="J291" s="362"/>
      <c r="M291"/>
      <c r="N291"/>
      <c r="O291"/>
      <c r="P291"/>
      <c r="Q291"/>
    </row>
    <row r="292" spans="1:17">
      <c r="A292" s="361"/>
      <c r="B292" s="361"/>
      <c r="C292" s="366"/>
      <c r="D292" s="367" t="s">
        <v>414</v>
      </c>
      <c r="E292" s="378">
        <v>0</v>
      </c>
      <c r="F292" s="369"/>
      <c r="G292" s="368">
        <f>IF(AND(E291=0,E292=0),0,1)</f>
        <v>0</v>
      </c>
      <c r="H292" s="362"/>
      <c r="I292" s="387"/>
      <c r="J292" s="362"/>
      <c r="M292"/>
      <c r="N292"/>
      <c r="O292"/>
      <c r="P292"/>
      <c r="Q292"/>
    </row>
    <row r="293" spans="1:17">
      <c r="A293" s="361"/>
      <c r="B293" s="361"/>
      <c r="C293" s="366" t="s">
        <v>1004</v>
      </c>
      <c r="D293" s="367" t="s">
        <v>413</v>
      </c>
      <c r="E293" s="378">
        <v>0</v>
      </c>
      <c r="F293" s="375"/>
      <c r="G293" s="370"/>
      <c r="H293" s="362"/>
      <c r="I293" s="362"/>
      <c r="J293" s="362"/>
      <c r="M293"/>
      <c r="N293"/>
      <c r="O293"/>
      <c r="P293"/>
      <c r="Q293"/>
    </row>
    <row r="294" spans="1:17">
      <c r="A294" s="361"/>
      <c r="B294" s="361"/>
      <c r="C294" s="366"/>
      <c r="D294" s="367" t="s">
        <v>414</v>
      </c>
      <c r="E294" s="378">
        <v>0</v>
      </c>
      <c r="F294" s="369"/>
      <c r="G294" s="368">
        <f>IF(AND(E293=0,E294=0),0,1)</f>
        <v>0</v>
      </c>
      <c r="H294" s="362"/>
      <c r="I294" s="362"/>
      <c r="J294" s="362"/>
      <c r="M294"/>
      <c r="N294"/>
      <c r="O294"/>
      <c r="P294"/>
      <c r="Q294"/>
    </row>
    <row r="295" spans="1:17">
      <c r="A295" s="361"/>
      <c r="B295" s="361"/>
      <c r="C295" s="366" t="s">
        <v>1005</v>
      </c>
      <c r="D295" s="367" t="s">
        <v>413</v>
      </c>
      <c r="E295" s="378">
        <v>0</v>
      </c>
      <c r="F295" s="375"/>
      <c r="G295" s="370"/>
      <c r="H295" s="362"/>
      <c r="I295" s="362"/>
      <c r="J295" s="362"/>
      <c r="M295"/>
      <c r="N295"/>
      <c r="O295"/>
      <c r="P295"/>
      <c r="Q295"/>
    </row>
    <row r="296" spans="1:17" ht="15.75" thickBot="1">
      <c r="A296" s="361"/>
      <c r="B296" s="361"/>
      <c r="C296" s="371"/>
      <c r="D296" s="726" t="s">
        <v>414</v>
      </c>
      <c r="E296" s="727">
        <v>0</v>
      </c>
      <c r="F296" s="728"/>
      <c r="G296" s="729">
        <f>IF(AND(E295=0,E296=0),0,1)</f>
        <v>0</v>
      </c>
      <c r="H296" s="362"/>
      <c r="I296" s="362"/>
      <c r="J296" s="362"/>
      <c r="M296"/>
      <c r="N296"/>
      <c r="O296"/>
      <c r="P296"/>
      <c r="Q296"/>
    </row>
    <row r="297" spans="1:17">
      <c r="A297" s="361"/>
      <c r="B297" s="361"/>
      <c r="C297" s="373"/>
      <c r="D297" s="718" t="s">
        <v>417</v>
      </c>
      <c r="E297" s="719">
        <f>IF(E290=0,0,(E291+E293+E295)/G297)</f>
        <v>0</v>
      </c>
      <c r="F297" s="375">
        <f>IF(AND(E297&gt;=3,E297&lt;=3.5),4,IF(AND(E297&gt;3.5,E297&lt;7),8-8*E297/7,0))</f>
        <v>0</v>
      </c>
      <c r="G297" s="720">
        <f>SUM(G291:G296)</f>
        <v>0</v>
      </c>
      <c r="H297" s="385"/>
      <c r="I297" s="384"/>
      <c r="J297" s="362"/>
      <c r="M297"/>
      <c r="N297"/>
      <c r="O297"/>
      <c r="P297"/>
      <c r="Q297"/>
    </row>
    <row r="298" spans="1:17" ht="15.75" thickBot="1">
      <c r="A298" s="361"/>
      <c r="B298" s="361"/>
      <c r="C298" s="371"/>
      <c r="D298" s="717" t="s">
        <v>418</v>
      </c>
      <c r="E298" s="390">
        <f>IF(E290=0,0,(E292+E294+E296)/G297)</f>
        <v>0</v>
      </c>
      <c r="F298" s="728">
        <f>IF(AND(E298&gt;=2.75,E298&lt;=3),2,IF(AND(E298&gt;3,E298&lt;3.8),2.5*E298-5.5,IF(AND(E298&gt;=3.8,E298&lt;=4),4,IF(E298&gt;4,"Salah Isi",0))))</f>
        <v>0</v>
      </c>
      <c r="G298" s="391"/>
      <c r="H298" s="362"/>
      <c r="I298" s="362"/>
      <c r="J298" s="362"/>
      <c r="M298"/>
      <c r="N298"/>
      <c r="O298"/>
      <c r="P298"/>
      <c r="Q298"/>
    </row>
    <row r="299" spans="1:17" ht="15.75" thickBot="1">
      <c r="A299" s="361"/>
      <c r="B299" s="361"/>
      <c r="C299" s="376"/>
      <c r="D299" s="389"/>
      <c r="E299" s="389"/>
      <c r="F299" s="374"/>
      <c r="G299" s="372"/>
      <c r="H299" s="362"/>
      <c r="I299" s="362"/>
      <c r="J299" s="362"/>
      <c r="M299"/>
      <c r="N299"/>
      <c r="O299"/>
      <c r="P299"/>
      <c r="Q299"/>
    </row>
    <row r="300" spans="1:17" ht="40.5" customHeight="1" thickBot="1">
      <c r="A300" s="361"/>
      <c r="B300" s="361"/>
      <c r="C300" s="915" t="s">
        <v>424</v>
      </c>
      <c r="D300" s="916"/>
      <c r="E300" s="732">
        <f>IF(SUM(E301:E306)&gt;0,1,0)</f>
        <v>0</v>
      </c>
      <c r="F300" s="386" t="s">
        <v>0</v>
      </c>
      <c r="G300" s="379" t="s">
        <v>416</v>
      </c>
      <c r="H300" s="362"/>
      <c r="I300" s="362"/>
      <c r="J300" s="362"/>
      <c r="M300"/>
      <c r="N300"/>
      <c r="O300"/>
      <c r="P300"/>
      <c r="Q300"/>
    </row>
    <row r="301" spans="1:17">
      <c r="A301" s="361"/>
      <c r="B301" s="361"/>
      <c r="C301" s="363" t="s">
        <v>1003</v>
      </c>
      <c r="D301" s="364" t="s">
        <v>413</v>
      </c>
      <c r="E301" s="377">
        <v>0</v>
      </c>
      <c r="F301" s="375"/>
      <c r="G301" s="365"/>
      <c r="H301" s="362"/>
      <c r="I301" s="362"/>
      <c r="J301" s="362"/>
      <c r="M301"/>
      <c r="N301"/>
      <c r="O301"/>
      <c r="P301"/>
      <c r="Q301"/>
    </row>
    <row r="302" spans="1:17">
      <c r="A302" s="361"/>
      <c r="B302" s="361"/>
      <c r="C302" s="366"/>
      <c r="D302" s="367" t="s">
        <v>414</v>
      </c>
      <c r="E302" s="378">
        <v>0</v>
      </c>
      <c r="F302" s="369"/>
      <c r="G302" s="368">
        <f>IF(AND(E301=0,E302=0),0,1)</f>
        <v>0</v>
      </c>
      <c r="H302" s="362"/>
      <c r="I302" s="387"/>
      <c r="J302" s="362"/>
      <c r="M302"/>
      <c r="N302"/>
      <c r="O302"/>
      <c r="P302"/>
      <c r="Q302"/>
    </row>
    <row r="303" spans="1:17">
      <c r="A303" s="361"/>
      <c r="B303" s="361"/>
      <c r="C303" s="366" t="s">
        <v>1004</v>
      </c>
      <c r="D303" s="367" t="s">
        <v>413</v>
      </c>
      <c r="E303" s="378">
        <v>0</v>
      </c>
      <c r="F303" s="375"/>
      <c r="G303" s="370"/>
      <c r="H303" s="362"/>
      <c r="I303" s="362"/>
      <c r="J303" s="362"/>
      <c r="M303"/>
      <c r="N303"/>
      <c r="O303"/>
      <c r="P303"/>
      <c r="Q303"/>
    </row>
    <row r="304" spans="1:17">
      <c r="A304" s="361"/>
      <c r="B304" s="361"/>
      <c r="C304" s="366"/>
      <c r="D304" s="367" t="s">
        <v>414</v>
      </c>
      <c r="E304" s="378">
        <v>0</v>
      </c>
      <c r="F304" s="369"/>
      <c r="G304" s="368">
        <f>IF(AND(E303=0,E304=0),0,1)</f>
        <v>0</v>
      </c>
      <c r="H304" s="362"/>
      <c r="I304" s="362"/>
      <c r="J304" s="362"/>
      <c r="M304"/>
      <c r="N304"/>
      <c r="O304"/>
      <c r="P304"/>
      <c r="Q304"/>
    </row>
    <row r="305" spans="1:17">
      <c r="A305" s="361"/>
      <c r="B305" s="361"/>
      <c r="C305" s="366" t="s">
        <v>1005</v>
      </c>
      <c r="D305" s="367" t="s">
        <v>413</v>
      </c>
      <c r="E305" s="378">
        <v>0</v>
      </c>
      <c r="F305" s="375"/>
      <c r="G305" s="370"/>
      <c r="H305" s="362"/>
      <c r="I305" s="362"/>
      <c r="J305" s="362"/>
      <c r="M305"/>
      <c r="N305"/>
      <c r="O305"/>
      <c r="P305"/>
      <c r="Q305"/>
    </row>
    <row r="306" spans="1:17" ht="15.75" thickBot="1">
      <c r="A306" s="361"/>
      <c r="B306" s="361"/>
      <c r="C306" s="371"/>
      <c r="D306" s="726" t="s">
        <v>414</v>
      </c>
      <c r="E306" s="727">
        <v>0</v>
      </c>
      <c r="F306" s="728"/>
      <c r="G306" s="729">
        <f>IF(AND(E305=0,E306=0),0,1)</f>
        <v>0</v>
      </c>
      <c r="H306" s="362"/>
      <c r="I306" s="362"/>
      <c r="J306" s="362"/>
      <c r="M306"/>
      <c r="N306"/>
      <c r="O306"/>
      <c r="P306"/>
      <c r="Q306"/>
    </row>
    <row r="307" spans="1:17">
      <c r="A307" s="361"/>
      <c r="B307" s="361"/>
      <c r="C307" s="373"/>
      <c r="D307" s="718" t="s">
        <v>422</v>
      </c>
      <c r="E307" s="719">
        <f>IF(E300=0,0,(E301+E303+E305)/G307)</f>
        <v>0</v>
      </c>
      <c r="F307" s="375">
        <f>IF(AND(E307&gt;=1,E307&lt;=2),4,IF(AND(E307&gt;2,E307&lt;4),8-2*E307,0))</f>
        <v>0</v>
      </c>
      <c r="G307" s="720">
        <f>SUM(G301:G306)</f>
        <v>0</v>
      </c>
      <c r="H307" s="385"/>
      <c r="I307" s="384"/>
      <c r="J307" s="362"/>
      <c r="M307"/>
      <c r="N307"/>
      <c r="O307"/>
      <c r="P307"/>
      <c r="Q307"/>
    </row>
    <row r="308" spans="1:17" ht="15.75" thickBot="1">
      <c r="A308" s="361"/>
      <c r="B308" s="361"/>
      <c r="C308" s="371"/>
      <c r="D308" s="717" t="s">
        <v>423</v>
      </c>
      <c r="E308" s="390">
        <f>IF(E300=0,0,(E302+E304+E306)/G307)</f>
        <v>0</v>
      </c>
      <c r="F308" s="728">
        <f>IF(AND(E308&gt;=2.75,E308&lt;=3),2,IF(AND(E308&gt;3,E308&lt;3.5),4*E308-10,IF(AND(E308&gt;=3.5,E308&lt;=4),4,IF(E308&gt;4,"Salah Isi",0))))</f>
        <v>0</v>
      </c>
      <c r="G308" s="391"/>
      <c r="H308" s="362"/>
      <c r="I308" s="362"/>
      <c r="J308" s="362"/>
      <c r="M308"/>
      <c r="N308"/>
      <c r="O308"/>
      <c r="P308"/>
      <c r="Q308"/>
    </row>
    <row r="309" spans="1:17" ht="15.75" thickBot="1">
      <c r="A309" s="361"/>
      <c r="B309" s="361"/>
      <c r="C309" s="376"/>
      <c r="D309" s="389"/>
      <c r="E309" s="389"/>
      <c r="F309" s="374"/>
      <c r="G309" s="372"/>
      <c r="H309" s="362"/>
      <c r="I309" s="362"/>
      <c r="J309" s="362"/>
      <c r="M309"/>
      <c r="N309"/>
      <c r="O309"/>
      <c r="P309"/>
      <c r="Q309"/>
    </row>
    <row r="310" spans="1:17" ht="40.5" customHeight="1" thickBot="1">
      <c r="A310" s="361"/>
      <c r="B310" s="361"/>
      <c r="C310" s="915" t="s">
        <v>428</v>
      </c>
      <c r="D310" s="916"/>
      <c r="E310" s="732">
        <f>IF(SUM(E311:E316)&gt;0,1,0)</f>
        <v>1</v>
      </c>
      <c r="F310" s="386" t="s">
        <v>0</v>
      </c>
      <c r="G310" s="379" t="s">
        <v>416</v>
      </c>
      <c r="H310" s="362"/>
      <c r="I310" s="362"/>
      <c r="J310" s="362"/>
      <c r="M310"/>
      <c r="N310"/>
      <c r="O310"/>
      <c r="P310"/>
      <c r="Q310"/>
    </row>
    <row r="311" spans="1:17">
      <c r="A311" s="361"/>
      <c r="B311" s="361"/>
      <c r="C311" s="363" t="s">
        <v>1003</v>
      </c>
      <c r="D311" s="722" t="s">
        <v>413</v>
      </c>
      <c r="E311" s="723">
        <v>5.05</v>
      </c>
      <c r="F311" s="724"/>
      <c r="G311" s="725"/>
      <c r="H311" s="362"/>
      <c r="I311" s="362"/>
      <c r="J311" s="362"/>
      <c r="M311"/>
      <c r="N311"/>
      <c r="O311"/>
      <c r="P311"/>
      <c r="Q311"/>
    </row>
    <row r="312" spans="1:17">
      <c r="A312" s="361"/>
      <c r="B312" s="361"/>
      <c r="C312" s="366"/>
      <c r="D312" s="367" t="s">
        <v>414</v>
      </c>
      <c r="E312" s="378">
        <v>2.87</v>
      </c>
      <c r="F312" s="369"/>
      <c r="G312" s="368">
        <f>IF(AND(E311=0,E312=0),0,1)</f>
        <v>1</v>
      </c>
      <c r="H312" s="362"/>
      <c r="I312" s="387"/>
      <c r="J312" s="362"/>
      <c r="M312"/>
      <c r="N312"/>
      <c r="O312"/>
      <c r="P312"/>
      <c r="Q312"/>
    </row>
    <row r="313" spans="1:17">
      <c r="A313" s="361"/>
      <c r="B313" s="361"/>
      <c r="C313" s="366" t="s">
        <v>1004</v>
      </c>
      <c r="D313" s="367" t="s">
        <v>413</v>
      </c>
      <c r="E313" s="377">
        <v>5.03</v>
      </c>
      <c r="F313" s="375"/>
      <c r="G313" s="370"/>
      <c r="H313" s="362"/>
      <c r="I313" s="362"/>
      <c r="J313" s="362"/>
      <c r="M313"/>
      <c r="N313"/>
      <c r="O313"/>
      <c r="P313"/>
      <c r="Q313"/>
    </row>
    <row r="314" spans="1:17">
      <c r="A314" s="361"/>
      <c r="B314" s="361"/>
      <c r="C314" s="366"/>
      <c r="D314" s="367" t="s">
        <v>414</v>
      </c>
      <c r="E314" s="378">
        <v>3.04</v>
      </c>
      <c r="F314" s="369"/>
      <c r="G314" s="368">
        <f>IF(AND(E313=0,E314=0),0,1)</f>
        <v>1</v>
      </c>
      <c r="H314" s="362"/>
      <c r="I314" s="362"/>
      <c r="J314" s="362"/>
      <c r="M314"/>
      <c r="N314"/>
      <c r="O314"/>
      <c r="P314"/>
      <c r="Q314"/>
    </row>
    <row r="315" spans="1:17">
      <c r="A315" s="361"/>
      <c r="B315" s="361"/>
      <c r="C315" s="366" t="s">
        <v>1005</v>
      </c>
      <c r="D315" s="367" t="s">
        <v>413</v>
      </c>
      <c r="E315" s="377">
        <v>0</v>
      </c>
      <c r="F315" s="375"/>
      <c r="G315" s="370"/>
      <c r="H315" s="362"/>
      <c r="I315" s="362"/>
      <c r="J315" s="362"/>
      <c r="M315"/>
      <c r="N315"/>
      <c r="O315"/>
      <c r="P315"/>
      <c r="Q315"/>
    </row>
    <row r="316" spans="1:17" ht="15.75" thickBot="1">
      <c r="A316" s="361"/>
      <c r="B316" s="361"/>
      <c r="C316" s="371"/>
      <c r="D316" s="726" t="s">
        <v>414</v>
      </c>
      <c r="E316" s="727">
        <v>0</v>
      </c>
      <c r="F316" s="728"/>
      <c r="G316" s="729">
        <f>IF(AND(E315=0,E316=0),0,1)</f>
        <v>0</v>
      </c>
      <c r="H316" s="362"/>
      <c r="I316" s="362"/>
      <c r="J316" s="362"/>
      <c r="M316"/>
      <c r="N316"/>
      <c r="O316"/>
      <c r="P316"/>
      <c r="Q316"/>
    </row>
    <row r="317" spans="1:17">
      <c r="A317" s="361"/>
      <c r="B317" s="361"/>
      <c r="C317" s="373"/>
      <c r="D317" s="718" t="s">
        <v>426</v>
      </c>
      <c r="E317" s="719">
        <f>IF(E310=0,0,(E311+E313+E315)/G317)</f>
        <v>5.04</v>
      </c>
      <c r="F317" s="375">
        <f>IF(AND(E317&gt;=3,E317&lt;=4),4,IF(AND(E317&gt;4,E317&lt;7),(28-4*E317)/3,0))</f>
        <v>2.6133333333333333</v>
      </c>
      <c r="G317" s="720">
        <f>SUM(G311:G316)</f>
        <v>2</v>
      </c>
      <c r="H317" s="385"/>
      <c r="I317" s="384"/>
      <c r="J317" s="362"/>
      <c r="M317"/>
      <c r="N317"/>
      <c r="O317"/>
      <c r="P317"/>
      <c r="Q317"/>
    </row>
    <row r="318" spans="1:17" ht="15.75" thickBot="1">
      <c r="A318" s="361"/>
      <c r="B318" s="361"/>
      <c r="C318" s="371"/>
      <c r="D318" s="717" t="s">
        <v>427</v>
      </c>
      <c r="E318" s="390">
        <f>IF(E310=0,0,(E312+E314+E316)/G317)</f>
        <v>2.9550000000000001</v>
      </c>
      <c r="F318" s="728">
        <f>IF(AND(E318&gt;=2,E318&lt;=2.75),(4*E318-2)/3,IF(AND(E318&gt;2.75,E318&lt;3),4*E318-8,IF(AND(E318&gt;=3,E318&lt;=4),4,IF(E318&gt;4,"Salah Isi",0))))</f>
        <v>3.8200000000000003</v>
      </c>
      <c r="G318" s="391"/>
      <c r="H318" s="362"/>
      <c r="I318" s="362"/>
      <c r="J318" s="362"/>
      <c r="M318"/>
      <c r="N318"/>
      <c r="O318"/>
      <c r="P318"/>
      <c r="Q318"/>
    </row>
    <row r="319" spans="1:17" ht="15.75" thickBot="1">
      <c r="A319" s="361"/>
      <c r="B319" s="361"/>
      <c r="C319" s="376"/>
      <c r="D319" s="389"/>
      <c r="E319" s="389"/>
      <c r="F319" s="374"/>
      <c r="G319" s="372"/>
      <c r="H319" s="362"/>
      <c r="I319" s="362"/>
      <c r="J319" s="362"/>
      <c r="M319"/>
      <c r="N319"/>
      <c r="O319"/>
      <c r="P319"/>
      <c r="Q319"/>
    </row>
    <row r="320" spans="1:17" ht="40.5" customHeight="1" thickBot="1">
      <c r="A320" s="361"/>
      <c r="B320" s="361"/>
      <c r="C320" s="915" t="s">
        <v>429</v>
      </c>
      <c r="D320" s="916"/>
      <c r="E320" s="732">
        <f>IF(SUM(E321:E326)&gt;0,1,0)</f>
        <v>0</v>
      </c>
      <c r="F320" s="386" t="s">
        <v>0</v>
      </c>
      <c r="G320" s="379" t="s">
        <v>416</v>
      </c>
      <c r="H320" s="362"/>
      <c r="I320" s="362"/>
      <c r="J320" s="362"/>
      <c r="M320"/>
      <c r="N320"/>
      <c r="O320"/>
      <c r="P320"/>
      <c r="Q320"/>
    </row>
    <row r="321" spans="1:17">
      <c r="A321" s="361"/>
      <c r="B321" s="361"/>
      <c r="C321" s="363" t="s">
        <v>1003</v>
      </c>
      <c r="D321" s="722" t="s">
        <v>413</v>
      </c>
      <c r="E321" s="723">
        <v>0</v>
      </c>
      <c r="F321" s="724"/>
      <c r="G321" s="725"/>
      <c r="H321" s="362"/>
      <c r="I321" s="362"/>
      <c r="J321" s="362"/>
      <c r="M321"/>
      <c r="N321"/>
      <c r="O321"/>
      <c r="P321"/>
      <c r="Q321"/>
    </row>
    <row r="322" spans="1:17">
      <c r="A322" s="361"/>
      <c r="B322" s="361"/>
      <c r="C322" s="366"/>
      <c r="D322" s="367" t="s">
        <v>414</v>
      </c>
      <c r="E322" s="378">
        <v>0</v>
      </c>
      <c r="F322" s="369"/>
      <c r="G322" s="368">
        <f>IF(AND(E321=0,E322=0),0,1)</f>
        <v>0</v>
      </c>
      <c r="H322" s="362"/>
      <c r="I322" s="387"/>
      <c r="J322" s="362"/>
      <c r="M322"/>
      <c r="N322"/>
      <c r="O322"/>
      <c r="P322"/>
      <c r="Q322"/>
    </row>
    <row r="323" spans="1:17">
      <c r="A323" s="361"/>
      <c r="B323" s="361"/>
      <c r="C323" s="366" t="s">
        <v>1004</v>
      </c>
      <c r="D323" s="367" t="s">
        <v>413</v>
      </c>
      <c r="E323" s="378">
        <v>0</v>
      </c>
      <c r="F323" s="375"/>
      <c r="G323" s="370"/>
      <c r="H323" s="362"/>
      <c r="I323" s="362"/>
      <c r="J323" s="362"/>
      <c r="M323"/>
      <c r="N323"/>
      <c r="O323"/>
      <c r="P323"/>
      <c r="Q323"/>
    </row>
    <row r="324" spans="1:17">
      <c r="A324" s="361"/>
      <c r="B324" s="361"/>
      <c r="C324" s="366"/>
      <c r="D324" s="367" t="s">
        <v>414</v>
      </c>
      <c r="E324" s="378">
        <v>0</v>
      </c>
      <c r="F324" s="369"/>
      <c r="G324" s="368">
        <f>IF(AND(E323=0,E324=0),0,1)</f>
        <v>0</v>
      </c>
      <c r="H324" s="362"/>
      <c r="I324" s="362"/>
      <c r="J324" s="362"/>
      <c r="M324"/>
      <c r="N324"/>
      <c r="O324"/>
      <c r="P324"/>
      <c r="Q324"/>
    </row>
    <row r="325" spans="1:17">
      <c r="A325" s="361"/>
      <c r="B325" s="361"/>
      <c r="C325" s="366" t="s">
        <v>1005</v>
      </c>
      <c r="D325" s="367" t="s">
        <v>413</v>
      </c>
      <c r="E325" s="378">
        <v>0</v>
      </c>
      <c r="F325" s="375"/>
      <c r="G325" s="370"/>
      <c r="H325" s="362"/>
      <c r="I325" s="362"/>
      <c r="J325" s="362"/>
      <c r="M325"/>
      <c r="N325"/>
      <c r="O325"/>
      <c r="P325"/>
      <c r="Q325"/>
    </row>
    <row r="326" spans="1:17" ht="15.75" thickBot="1">
      <c r="A326" s="361"/>
      <c r="B326" s="361"/>
      <c r="C326" s="371"/>
      <c r="D326" s="726" t="s">
        <v>414</v>
      </c>
      <c r="E326" s="727">
        <v>0</v>
      </c>
      <c r="F326" s="728"/>
      <c r="G326" s="729">
        <f>IF(AND(E325=0,E326=0),0,1)</f>
        <v>0</v>
      </c>
      <c r="H326" s="362"/>
      <c r="I326" s="362"/>
      <c r="J326" s="362"/>
      <c r="M326"/>
      <c r="N326"/>
      <c r="O326"/>
      <c r="P326"/>
      <c r="Q326"/>
    </row>
    <row r="327" spans="1:17">
      <c r="A327" s="361"/>
      <c r="B327" s="361"/>
      <c r="C327" s="373"/>
      <c r="D327" s="718" t="s">
        <v>430</v>
      </c>
      <c r="E327" s="719">
        <f>IF(E320=0,0,(E321+E323+E325)/G327)</f>
        <v>0</v>
      </c>
      <c r="F327" s="375">
        <f>IF(AND(E327&gt;=3,E327&lt;=4),4,IF(AND(E327&gt;4,E327&lt;7),(28-4*E327)/3,0))</f>
        <v>0</v>
      </c>
      <c r="G327" s="720">
        <f>SUM(G321:G326)</f>
        <v>0</v>
      </c>
      <c r="H327" s="385"/>
      <c r="I327" s="384"/>
      <c r="J327" s="362"/>
      <c r="M327"/>
      <c r="N327"/>
      <c r="O327"/>
      <c r="P327"/>
      <c r="Q327"/>
    </row>
    <row r="328" spans="1:17" ht="15.75" thickBot="1">
      <c r="A328" s="361"/>
      <c r="B328" s="361"/>
      <c r="C328" s="371"/>
      <c r="D328" s="717" t="s">
        <v>431</v>
      </c>
      <c r="E328" s="390">
        <f>IF(E320=0,0,(E322+E324+E326)/G327)</f>
        <v>0</v>
      </c>
      <c r="F328" s="728">
        <f>IF(AND(E328&gt;=2,E328&lt;=2.75),(4*E328-2)/3,IF(AND(E328&gt;2.75,E328&lt;3),4*E328-8,IF(AND(E328&gt;=3,E328&lt;=4),4,IF(E328&gt;4,"Salah Isi",0))))</f>
        <v>0</v>
      </c>
      <c r="G328" s="391"/>
      <c r="H328" s="362"/>
      <c r="I328" s="362"/>
      <c r="J328" s="362"/>
      <c r="M328"/>
      <c r="N328"/>
      <c r="O328"/>
      <c r="P328"/>
      <c r="Q328"/>
    </row>
    <row r="329" spans="1:17" ht="15.75" thickBot="1">
      <c r="A329" s="361"/>
      <c r="B329" s="361"/>
      <c r="C329" s="376"/>
      <c r="D329" s="389"/>
      <c r="E329" s="389"/>
      <c r="F329" s="374"/>
      <c r="G329" s="372"/>
      <c r="H329" s="362"/>
      <c r="I329" s="362"/>
      <c r="J329" s="362"/>
      <c r="M329"/>
      <c r="N329"/>
      <c r="O329"/>
      <c r="P329"/>
      <c r="Q329"/>
    </row>
    <row r="330" spans="1:17" ht="40.5" customHeight="1" thickBot="1">
      <c r="A330" s="361"/>
      <c r="B330" s="361"/>
      <c r="C330" s="915" t="s">
        <v>432</v>
      </c>
      <c r="D330" s="916"/>
      <c r="E330" s="732">
        <f>IF(SUM(E331:E336)&gt;0,1,0)</f>
        <v>1</v>
      </c>
      <c r="F330" s="386" t="s">
        <v>0</v>
      </c>
      <c r="G330" s="379" t="s">
        <v>416</v>
      </c>
      <c r="H330" s="362"/>
      <c r="I330" s="362"/>
      <c r="J330" s="362"/>
      <c r="M330"/>
      <c r="N330"/>
      <c r="O330"/>
      <c r="P330"/>
      <c r="Q330"/>
    </row>
    <row r="331" spans="1:17">
      <c r="A331" s="361"/>
      <c r="B331" s="361"/>
      <c r="C331" s="721" t="s">
        <v>1003</v>
      </c>
      <c r="D331" s="722" t="s">
        <v>413</v>
      </c>
      <c r="E331" s="723">
        <v>0</v>
      </c>
      <c r="F331" s="724"/>
      <c r="G331" s="725"/>
      <c r="H331" s="362"/>
      <c r="I331" s="362"/>
      <c r="J331" s="362"/>
      <c r="M331"/>
      <c r="N331"/>
      <c r="O331"/>
      <c r="P331"/>
      <c r="Q331"/>
    </row>
    <row r="332" spans="1:17">
      <c r="A332" s="361"/>
      <c r="B332" s="361"/>
      <c r="C332" s="366"/>
      <c r="D332" s="367" t="s">
        <v>414</v>
      </c>
      <c r="E332" s="378">
        <v>3.2</v>
      </c>
      <c r="F332" s="369"/>
      <c r="G332" s="368">
        <f>IF(AND(E331=0,E332=0),0,1)</f>
        <v>1</v>
      </c>
      <c r="H332" s="362"/>
      <c r="I332" s="387"/>
      <c r="J332" s="362"/>
      <c r="M332"/>
      <c r="N332"/>
      <c r="O332"/>
      <c r="P332"/>
      <c r="Q332"/>
    </row>
    <row r="333" spans="1:17">
      <c r="A333" s="361"/>
      <c r="B333" s="361"/>
      <c r="C333" s="366" t="s">
        <v>1004</v>
      </c>
      <c r="D333" s="367" t="s">
        <v>413</v>
      </c>
      <c r="E333" s="378">
        <v>0</v>
      </c>
      <c r="F333" s="375"/>
      <c r="G333" s="370"/>
      <c r="H333" s="362"/>
      <c r="I333" s="362"/>
      <c r="J333" s="362"/>
      <c r="M333"/>
      <c r="N333"/>
      <c r="O333"/>
      <c r="P333"/>
      <c r="Q333"/>
    </row>
    <row r="334" spans="1:17">
      <c r="A334" s="361"/>
      <c r="B334" s="361"/>
      <c r="C334" s="366"/>
      <c r="D334" s="367" t="s">
        <v>414</v>
      </c>
      <c r="E334" s="378">
        <v>3</v>
      </c>
      <c r="F334" s="369"/>
      <c r="G334" s="368">
        <f>IF(AND(E333=0,E334=0),0,1)</f>
        <v>1</v>
      </c>
      <c r="H334" s="362"/>
      <c r="I334" s="362"/>
      <c r="J334" s="362"/>
      <c r="M334"/>
      <c r="N334"/>
      <c r="O334"/>
      <c r="P334"/>
      <c r="Q334"/>
    </row>
    <row r="335" spans="1:17">
      <c r="A335" s="361"/>
      <c r="B335" s="361"/>
      <c r="C335" s="366" t="s">
        <v>1005</v>
      </c>
      <c r="D335" s="367" t="s">
        <v>413</v>
      </c>
      <c r="E335" s="378">
        <v>0</v>
      </c>
      <c r="F335" s="375"/>
      <c r="G335" s="370"/>
      <c r="H335" s="362"/>
      <c r="I335" s="362"/>
      <c r="J335" s="362"/>
      <c r="M335"/>
      <c r="N335"/>
      <c r="O335"/>
      <c r="P335"/>
      <c r="Q335"/>
    </row>
    <row r="336" spans="1:17" ht="15.75" thickBot="1">
      <c r="A336" s="361"/>
      <c r="B336" s="361"/>
      <c r="C336" s="371"/>
      <c r="D336" s="726" t="s">
        <v>414</v>
      </c>
      <c r="E336" s="727">
        <v>3.2</v>
      </c>
      <c r="F336" s="728"/>
      <c r="G336" s="729">
        <f>IF(AND(E335=0,E336=0),0,1)</f>
        <v>1</v>
      </c>
      <c r="H336" s="362"/>
      <c r="I336" s="362"/>
      <c r="J336" s="362"/>
      <c r="M336"/>
      <c r="N336"/>
      <c r="O336"/>
      <c r="P336"/>
      <c r="Q336"/>
    </row>
    <row r="337" spans="1:17">
      <c r="A337" s="361"/>
      <c r="B337" s="361"/>
      <c r="C337" s="373"/>
      <c r="D337" s="718" t="s">
        <v>1010</v>
      </c>
      <c r="E337" s="719">
        <f>IF(E330=0,0,(E331+E333+E335)/G337)</f>
        <v>0</v>
      </c>
      <c r="F337" s="375">
        <f>IF(AND(E337&gt;=2,E337&lt;=3),4,IF(AND(E337&gt;3,E337&lt;5),10-2*E337,0))</f>
        <v>0</v>
      </c>
      <c r="G337" s="720">
        <f>SUM(G331:G336)</f>
        <v>3</v>
      </c>
      <c r="H337" s="385"/>
      <c r="I337" s="384"/>
      <c r="J337" s="362"/>
      <c r="M337"/>
      <c r="N337"/>
      <c r="O337"/>
      <c r="P337"/>
      <c r="Q337"/>
    </row>
    <row r="338" spans="1:17" ht="15.75" thickBot="1">
      <c r="A338" s="361"/>
      <c r="B338" s="361"/>
      <c r="C338" s="371"/>
      <c r="D338" s="717" t="s">
        <v>1011</v>
      </c>
      <c r="E338" s="390">
        <f>IF(E330=0,0,(E332+E334+E336)/G337)</f>
        <v>3.1333333333333333</v>
      </c>
      <c r="F338" s="728">
        <f>IF(AND(E338&gt;=2,E338&lt;=2.75),(4*E338-2)/3,IF(AND(E338&gt;2.75,E338&lt;3),4*E338-8,IF(AND(E338&gt;=3,E338&lt;=4),4,IF(E338&gt;4,"Salah Isi",0))))</f>
        <v>4</v>
      </c>
      <c r="G338" s="391"/>
      <c r="H338" s="362"/>
      <c r="I338" s="362"/>
      <c r="J338" s="362"/>
      <c r="M338"/>
      <c r="N338"/>
      <c r="O338"/>
      <c r="P338"/>
      <c r="Q338"/>
    </row>
    <row r="339" spans="1:17" ht="15.75" thickBot="1">
      <c r="A339" s="361"/>
      <c r="B339" s="361"/>
      <c r="C339" s="376"/>
      <c r="D339" s="389"/>
      <c r="E339" s="389"/>
      <c r="F339" s="374"/>
      <c r="G339" s="372"/>
      <c r="H339" s="362"/>
      <c r="I339" s="362"/>
      <c r="J339" s="362"/>
      <c r="M339"/>
      <c r="N339"/>
      <c r="O339"/>
      <c r="P339"/>
      <c r="Q339"/>
    </row>
    <row r="340" spans="1:17" ht="40.5" customHeight="1" thickBot="1">
      <c r="A340" s="361"/>
      <c r="B340" s="361"/>
      <c r="C340" s="915" t="s">
        <v>433</v>
      </c>
      <c r="D340" s="916"/>
      <c r="E340" s="732">
        <f>IF(SUM(E341:E346)&gt;0,1,0)</f>
        <v>0</v>
      </c>
      <c r="F340" s="386" t="s">
        <v>0</v>
      </c>
      <c r="G340" s="379" t="s">
        <v>416</v>
      </c>
      <c r="H340" s="362"/>
      <c r="I340" s="362"/>
      <c r="J340" s="362"/>
      <c r="M340"/>
      <c r="N340"/>
      <c r="O340"/>
      <c r="P340"/>
      <c r="Q340"/>
    </row>
    <row r="341" spans="1:17">
      <c r="A341" s="361"/>
      <c r="B341" s="361"/>
      <c r="C341" s="721" t="s">
        <v>1003</v>
      </c>
      <c r="D341" s="722" t="s">
        <v>413</v>
      </c>
      <c r="E341" s="723">
        <v>0</v>
      </c>
      <c r="F341" s="724"/>
      <c r="G341" s="725"/>
      <c r="H341" s="362"/>
      <c r="I341" s="362"/>
      <c r="J341" s="362"/>
      <c r="M341"/>
      <c r="N341"/>
      <c r="O341"/>
      <c r="P341"/>
      <c r="Q341"/>
    </row>
    <row r="342" spans="1:17">
      <c r="A342" s="361"/>
      <c r="B342" s="361"/>
      <c r="C342" s="366"/>
      <c r="D342" s="367" t="s">
        <v>414</v>
      </c>
      <c r="E342" s="378">
        <v>0</v>
      </c>
      <c r="F342" s="369"/>
      <c r="G342" s="368">
        <f>IF(AND(E341=0,E342=0),0,1)</f>
        <v>0</v>
      </c>
      <c r="H342" s="362"/>
      <c r="I342" s="387"/>
      <c r="J342" s="362"/>
      <c r="M342"/>
      <c r="N342"/>
      <c r="O342"/>
      <c r="P342"/>
      <c r="Q342"/>
    </row>
    <row r="343" spans="1:17">
      <c r="A343" s="361"/>
      <c r="B343" s="361"/>
      <c r="C343" s="366" t="s">
        <v>1004</v>
      </c>
      <c r="D343" s="367" t="s">
        <v>413</v>
      </c>
      <c r="E343" s="378">
        <v>0</v>
      </c>
      <c r="F343" s="375"/>
      <c r="G343" s="370"/>
      <c r="H343" s="362"/>
      <c r="I343" s="362"/>
      <c r="J343" s="362"/>
      <c r="M343"/>
      <c r="N343"/>
      <c r="O343"/>
      <c r="P343"/>
      <c r="Q343"/>
    </row>
    <row r="344" spans="1:17">
      <c r="A344" s="361"/>
      <c r="B344" s="361"/>
      <c r="C344" s="366"/>
      <c r="D344" s="367" t="s">
        <v>414</v>
      </c>
      <c r="E344" s="378">
        <v>0</v>
      </c>
      <c r="F344" s="369"/>
      <c r="G344" s="368">
        <f>IF(AND(E343=0,E344=0),0,1)</f>
        <v>0</v>
      </c>
      <c r="H344" s="362"/>
      <c r="I344" s="362"/>
      <c r="J344" s="362"/>
      <c r="M344"/>
      <c r="N344"/>
      <c r="O344"/>
      <c r="P344"/>
      <c r="Q344"/>
    </row>
    <row r="345" spans="1:17">
      <c r="A345" s="361"/>
      <c r="B345" s="361"/>
      <c r="C345" s="366" t="s">
        <v>1005</v>
      </c>
      <c r="D345" s="367" t="s">
        <v>413</v>
      </c>
      <c r="E345" s="378">
        <v>0</v>
      </c>
      <c r="F345" s="375"/>
      <c r="G345" s="370"/>
      <c r="H345" s="362"/>
      <c r="I345" s="362"/>
      <c r="J345" s="362"/>
      <c r="M345"/>
      <c r="N345"/>
      <c r="O345"/>
      <c r="P345"/>
      <c r="Q345"/>
    </row>
    <row r="346" spans="1:17" ht="15.75" thickBot="1">
      <c r="A346" s="361"/>
      <c r="B346" s="361"/>
      <c r="C346" s="371"/>
      <c r="D346" s="726" t="s">
        <v>414</v>
      </c>
      <c r="E346" s="727">
        <v>0</v>
      </c>
      <c r="F346" s="728"/>
      <c r="G346" s="729">
        <f>IF(AND(E345=0,E346=0),0,1)</f>
        <v>0</v>
      </c>
      <c r="H346" s="362"/>
      <c r="I346" s="362"/>
      <c r="J346" s="362"/>
      <c r="M346"/>
      <c r="N346"/>
      <c r="O346"/>
      <c r="P346"/>
      <c r="Q346"/>
    </row>
    <row r="347" spans="1:17">
      <c r="A347" s="361"/>
      <c r="B347" s="361"/>
      <c r="C347" s="373"/>
      <c r="D347" s="718" t="s">
        <v>1008</v>
      </c>
      <c r="E347" s="719">
        <f>IF(E340=0,0,(E341+E343+E345)/G347)</f>
        <v>0</v>
      </c>
      <c r="F347" s="375">
        <f>IF(AND(E347&gt;=1,E347&lt;=2),4,IF(AND(E347&gt;2,E347&lt;3),12-4*E347,0))</f>
        <v>0</v>
      </c>
      <c r="G347" s="720">
        <f>SUM(G341:G346)</f>
        <v>0</v>
      </c>
      <c r="H347" s="385"/>
      <c r="I347" s="384"/>
      <c r="J347" s="362"/>
      <c r="M347"/>
      <c r="N347"/>
      <c r="O347"/>
      <c r="P347"/>
      <c r="Q347"/>
    </row>
    <row r="348" spans="1:17" ht="15.75" thickBot="1">
      <c r="A348" s="361"/>
      <c r="B348" s="361"/>
      <c r="C348" s="371"/>
      <c r="D348" s="717" t="s">
        <v>1009</v>
      </c>
      <c r="E348" s="390">
        <f>IF(E340=0,0,(E342+E344+E346)/G347)</f>
        <v>0</v>
      </c>
      <c r="F348" s="728">
        <f>IF(AND(E348&gt;=2,E348&lt;=2.75),(4*E348-2)/3,IF(AND(E348&gt;2.75,E348&lt;3),4*E348-8,IF(AND(E348&gt;=3,E348&lt;=4),4,IF(E348&gt;4,"Salah Isi",0))))</f>
        <v>0</v>
      </c>
      <c r="G348" s="391"/>
      <c r="H348" s="362"/>
      <c r="I348" s="362"/>
      <c r="J348" s="362"/>
      <c r="M348"/>
      <c r="N348"/>
      <c r="O348"/>
      <c r="P348"/>
      <c r="Q348"/>
    </row>
    <row r="349" spans="1:17" ht="15.75" thickBot="1">
      <c r="A349" s="361"/>
      <c r="B349" s="361"/>
      <c r="C349" s="376"/>
      <c r="D349" s="389"/>
      <c r="E349" s="389"/>
      <c r="F349" s="374"/>
      <c r="G349" s="372"/>
      <c r="H349" s="362"/>
      <c r="I349" s="362"/>
      <c r="J349" s="362"/>
      <c r="M349"/>
      <c r="N349"/>
      <c r="O349"/>
      <c r="P349"/>
      <c r="Q349"/>
    </row>
    <row r="350" spans="1:17" ht="40.5" customHeight="1" thickBot="1">
      <c r="A350" s="361"/>
      <c r="B350" s="361"/>
      <c r="C350" s="915" t="s">
        <v>434</v>
      </c>
      <c r="D350" s="916"/>
      <c r="E350" s="732">
        <f>IF(SUM(E351:E356)&gt;0,1,0)</f>
        <v>0</v>
      </c>
      <c r="F350" s="386" t="s">
        <v>0</v>
      </c>
      <c r="G350" s="379" t="s">
        <v>416</v>
      </c>
      <c r="H350" s="362"/>
      <c r="I350" s="362"/>
      <c r="J350" s="362"/>
      <c r="M350"/>
      <c r="N350"/>
      <c r="O350"/>
      <c r="P350"/>
      <c r="Q350"/>
    </row>
    <row r="351" spans="1:17">
      <c r="A351" s="361"/>
      <c r="B351" s="361"/>
      <c r="C351" s="721" t="s">
        <v>1003</v>
      </c>
      <c r="D351" s="722" t="s">
        <v>413</v>
      </c>
      <c r="E351" s="723">
        <v>0</v>
      </c>
      <c r="F351" s="724"/>
      <c r="G351" s="725"/>
      <c r="H351" s="362"/>
      <c r="I351" s="362"/>
      <c r="J351" s="362"/>
      <c r="M351"/>
      <c r="N351"/>
      <c r="O351"/>
      <c r="P351"/>
      <c r="Q351"/>
    </row>
    <row r="352" spans="1:17">
      <c r="A352" s="361"/>
      <c r="B352" s="361"/>
      <c r="C352" s="366"/>
      <c r="D352" s="367" t="s">
        <v>414</v>
      </c>
      <c r="E352" s="378">
        <v>0</v>
      </c>
      <c r="F352" s="369"/>
      <c r="G352" s="368">
        <f>IF(AND(E351=0,E352=0),0,1)</f>
        <v>0</v>
      </c>
      <c r="H352" s="362"/>
      <c r="I352" s="387"/>
      <c r="J352" s="362"/>
      <c r="M352"/>
      <c r="N352"/>
      <c r="O352"/>
      <c r="P352"/>
      <c r="Q352"/>
    </row>
    <row r="353" spans="1:17">
      <c r="A353" s="361"/>
      <c r="B353" s="361"/>
      <c r="C353" s="366" t="s">
        <v>1004</v>
      </c>
      <c r="D353" s="367" t="s">
        <v>413</v>
      </c>
      <c r="E353" s="378">
        <v>0</v>
      </c>
      <c r="F353" s="375"/>
      <c r="G353" s="370"/>
      <c r="H353" s="362"/>
      <c r="I353" s="362"/>
      <c r="J353" s="362"/>
      <c r="M353"/>
      <c r="N353"/>
      <c r="O353"/>
      <c r="P353"/>
      <c r="Q353"/>
    </row>
    <row r="354" spans="1:17">
      <c r="A354" s="361"/>
      <c r="B354" s="361"/>
      <c r="C354" s="366"/>
      <c r="D354" s="367" t="s">
        <v>414</v>
      </c>
      <c r="E354" s="378">
        <v>0</v>
      </c>
      <c r="F354" s="369"/>
      <c r="G354" s="368">
        <f>IF(AND(E353=0,E354=0),0,1)</f>
        <v>0</v>
      </c>
      <c r="H354" s="362"/>
      <c r="I354" s="362"/>
      <c r="J354" s="362"/>
      <c r="M354"/>
      <c r="N354"/>
      <c r="O354"/>
      <c r="P354"/>
      <c r="Q354"/>
    </row>
    <row r="355" spans="1:17">
      <c r="A355" s="361"/>
      <c r="B355" s="361"/>
      <c r="C355" s="366" t="s">
        <v>1005</v>
      </c>
      <c r="D355" s="367" t="s">
        <v>413</v>
      </c>
      <c r="E355" s="378">
        <v>0</v>
      </c>
      <c r="F355" s="375"/>
      <c r="G355" s="370"/>
      <c r="H355" s="362"/>
      <c r="I355" s="362"/>
      <c r="J355" s="362"/>
      <c r="M355"/>
      <c r="N355"/>
      <c r="O355"/>
      <c r="P355"/>
      <c r="Q355"/>
    </row>
    <row r="356" spans="1:17" ht="15.75" thickBot="1">
      <c r="A356" s="361"/>
      <c r="B356" s="361"/>
      <c r="C356" s="371"/>
      <c r="D356" s="726" t="s">
        <v>414</v>
      </c>
      <c r="E356" s="727">
        <v>0</v>
      </c>
      <c r="F356" s="728"/>
      <c r="G356" s="729">
        <f>IF(AND(E355=0,E356=0),0,1)</f>
        <v>0</v>
      </c>
      <c r="H356" s="362"/>
      <c r="I356" s="362"/>
      <c r="J356" s="362"/>
      <c r="M356"/>
      <c r="N356"/>
      <c r="O356"/>
      <c r="P356"/>
      <c r="Q356"/>
    </row>
    <row r="357" spans="1:17">
      <c r="A357" s="361"/>
      <c r="B357" s="361"/>
      <c r="C357" s="373"/>
      <c r="D357" s="718" t="s">
        <v>1006</v>
      </c>
      <c r="E357" s="719">
        <f>IF(E350=0,0,(E351+E353+E355)/G357)</f>
        <v>0</v>
      </c>
      <c r="F357" s="375">
        <f>IF(AND(E357&gt;=0.5,E357&lt;=1),4,IF(AND(E357&gt;1,E357&lt;2),8-4*E357,0))</f>
        <v>0</v>
      </c>
      <c r="G357" s="720">
        <f>SUM(G351:G356)</f>
        <v>0</v>
      </c>
      <c r="H357" s="385"/>
      <c r="I357" s="384"/>
      <c r="J357" s="362"/>
      <c r="M357"/>
      <c r="N357"/>
      <c r="O357"/>
      <c r="P357"/>
      <c r="Q357"/>
    </row>
    <row r="358" spans="1:17" ht="15.75" thickBot="1">
      <c r="A358" s="361"/>
      <c r="B358" s="361"/>
      <c r="C358" s="371"/>
      <c r="D358" s="717" t="s">
        <v>1007</v>
      </c>
      <c r="E358" s="390">
        <f>IF(E350=0,0,(E352+E354+E356)/G357)</f>
        <v>0</v>
      </c>
      <c r="F358" s="728">
        <f>IF(AND(E358&gt;=2,E358&lt;=2.75),(4*E358-2)/3,IF(AND(E358&gt;2.75,E358&lt;3),4*E358-8,IF(AND(E358&gt;=3,E358&lt;=4),4,IF(E358&gt;4,"Salah Isi",0))))</f>
        <v>0</v>
      </c>
      <c r="G358" s="391"/>
      <c r="H358" s="362"/>
      <c r="I358" s="362"/>
      <c r="J358" s="362"/>
      <c r="M358"/>
      <c r="N358"/>
      <c r="O358"/>
      <c r="P358"/>
      <c r="Q358"/>
    </row>
    <row r="359" spans="1:17">
      <c r="A359" s="361"/>
      <c r="B359" s="361"/>
      <c r="C359" s="376"/>
      <c r="D359" s="389"/>
      <c r="E359" s="389"/>
      <c r="F359" s="374"/>
      <c r="G359" s="372"/>
      <c r="H359" s="362"/>
      <c r="I359" s="362"/>
      <c r="J359" s="362"/>
      <c r="M359"/>
      <c r="N359"/>
      <c r="O359"/>
      <c r="P359"/>
      <c r="Q359"/>
    </row>
    <row r="360" spans="1:17" ht="15.75" thickBot="1">
      <c r="A360" s="141"/>
      <c r="B360" s="141"/>
      <c r="C360" s="138"/>
      <c r="D360" s="138"/>
      <c r="E360" s="50"/>
      <c r="F360" s="50"/>
      <c r="G360" s="82"/>
    </row>
    <row r="361" spans="1:17" ht="32.25" customHeight="1">
      <c r="A361" s="141">
        <v>38</v>
      </c>
      <c r="B361" s="141" t="s">
        <v>435</v>
      </c>
      <c r="C361" s="827" t="s">
        <v>436</v>
      </c>
      <c r="D361" s="828"/>
      <c r="E361" s="178">
        <v>1</v>
      </c>
      <c r="F361" s="50"/>
      <c r="G361" s="845" t="s">
        <v>1012</v>
      </c>
      <c r="H361" s="846"/>
      <c r="I361" s="847"/>
    </row>
    <row r="362" spans="1:17" ht="81" customHeight="1" thickBot="1">
      <c r="A362" s="141"/>
      <c r="B362" s="141"/>
      <c r="C362" s="266">
        <v>4</v>
      </c>
      <c r="D362" s="636" t="s">
        <v>973</v>
      </c>
      <c r="E362" s="251"/>
      <c r="F362" s="50"/>
      <c r="G362" s="848"/>
      <c r="H362" s="849"/>
      <c r="I362" s="850"/>
    </row>
    <row r="363" spans="1:17" ht="96" customHeight="1">
      <c r="A363" s="141"/>
      <c r="B363" s="141"/>
      <c r="C363" s="266">
        <v>3</v>
      </c>
      <c r="D363" s="636" t="s">
        <v>972</v>
      </c>
      <c r="E363" s="251"/>
      <c r="F363" s="50"/>
      <c r="G363" s="716"/>
      <c r="H363" s="716"/>
      <c r="I363" s="716"/>
      <c r="J363" s="716"/>
    </row>
    <row r="364" spans="1:17" ht="93" customHeight="1">
      <c r="A364" s="141"/>
      <c r="B364" s="141"/>
      <c r="C364" s="266">
        <v>2</v>
      </c>
      <c r="D364" s="636" t="s">
        <v>974</v>
      </c>
      <c r="E364" s="251"/>
      <c r="F364" s="50"/>
      <c r="G364" s="716"/>
      <c r="H364" s="643"/>
      <c r="I364" s="643"/>
    </row>
    <row r="365" spans="1:17" ht="18.75" customHeight="1">
      <c r="A365" s="141"/>
      <c r="B365" s="141"/>
      <c r="C365" s="266">
        <v>1</v>
      </c>
      <c r="D365" s="323" t="s">
        <v>437</v>
      </c>
      <c r="E365" s="251"/>
      <c r="F365" s="50"/>
      <c r="G365" s="645"/>
      <c r="H365" s="643"/>
      <c r="I365" s="643"/>
    </row>
    <row r="366" spans="1:17" ht="15.75" thickBot="1">
      <c r="A366" s="141"/>
      <c r="B366" s="141"/>
      <c r="C366" s="835" t="s">
        <v>90</v>
      </c>
      <c r="D366" s="836"/>
      <c r="E366" s="217">
        <f>IF(OR(E361&lt;1,E361&gt;4),"Salah Isi", E361)</f>
        <v>1</v>
      </c>
      <c r="F366" s="50"/>
      <c r="G366" s="81"/>
      <c r="H366" s="52"/>
      <c r="I366" s="50"/>
    </row>
    <row r="367" spans="1:17" ht="15.75" thickBot="1">
      <c r="A367" s="141"/>
      <c r="B367" s="141"/>
      <c r="C367" s="137"/>
      <c r="D367" s="137"/>
      <c r="E367" s="50"/>
      <c r="F367" s="50"/>
      <c r="G367" s="81"/>
      <c r="H367" s="52"/>
      <c r="I367" s="50"/>
    </row>
    <row r="368" spans="1:17" ht="48" customHeight="1" thickBot="1">
      <c r="A368" s="141">
        <v>39</v>
      </c>
      <c r="B368" s="141" t="s">
        <v>438</v>
      </c>
      <c r="C368" s="825" t="s">
        <v>439</v>
      </c>
      <c r="D368" s="905"/>
      <c r="E368" s="84"/>
      <c r="F368" s="50"/>
      <c r="G368" s="796" t="str">
        <f>"Banyaknya alumni tiga tahun terakhir yang memberikan respon = "&amp;E369&amp;",Banyaknya alumni dalam tiga tahun terakhir = "&amp;E370&amp;", sehingga rasio = "&amp;(ROUND(E371,2))</f>
        <v>Banyaknya alumni tiga tahun terakhir yang memberikan respon = 50,Banyaknya alumni dalam tiga tahun terakhir = 200, sehingga rasio = 0.25</v>
      </c>
      <c r="H368" s="797"/>
      <c r="I368" s="798"/>
    </row>
    <row r="369" spans="1:9" ht="15.75">
      <c r="A369" s="142"/>
      <c r="B369" s="142"/>
      <c r="C369" s="380" t="s">
        <v>247</v>
      </c>
      <c r="D369" s="226" t="s">
        <v>1021</v>
      </c>
      <c r="E369" s="85">
        <v>50</v>
      </c>
      <c r="F369" s="50"/>
      <c r="G369" s="790"/>
      <c r="H369" s="791"/>
      <c r="I369" s="792"/>
    </row>
    <row r="370" spans="1:9" ht="15.75" thickBot="1">
      <c r="A370" s="141"/>
      <c r="B370" s="141"/>
      <c r="C370" s="380" t="s">
        <v>97</v>
      </c>
      <c r="D370" s="226" t="s">
        <v>1022</v>
      </c>
      <c r="E370" s="85">
        <v>200</v>
      </c>
      <c r="F370" s="50"/>
      <c r="G370" s="793"/>
      <c r="H370" s="794"/>
      <c r="I370" s="795"/>
    </row>
    <row r="371" spans="1:9" ht="15.75">
      <c r="A371" s="141"/>
      <c r="B371" s="141"/>
      <c r="C371" s="380"/>
      <c r="D371" s="226" t="s">
        <v>440</v>
      </c>
      <c r="E371" s="225">
        <f>IF(E370=0,0,E369/E370)</f>
        <v>0.25</v>
      </c>
      <c r="F371" s="50"/>
      <c r="G371" s="82"/>
    </row>
    <row r="372" spans="1:9" ht="15.75" thickBot="1">
      <c r="A372" s="141"/>
      <c r="B372" s="141"/>
      <c r="C372" s="95" t="s">
        <v>90</v>
      </c>
      <c r="D372" s="96"/>
      <c r="E372" s="217">
        <f>IF(E371&gt;=0.2,4,20*E371)</f>
        <v>4</v>
      </c>
      <c r="F372" s="50"/>
      <c r="G372" s="82"/>
    </row>
    <row r="373" spans="1:9" ht="15.75" thickBot="1">
      <c r="A373" s="142"/>
      <c r="B373" s="142"/>
      <c r="C373" s="79"/>
      <c r="D373" s="79"/>
      <c r="G373" s="82"/>
    </row>
    <row r="374" spans="1:9" ht="43.5" customHeight="1" thickBot="1">
      <c r="A374" s="142">
        <v>40</v>
      </c>
      <c r="B374" s="142" t="s">
        <v>441</v>
      </c>
      <c r="C374" s="825" t="s">
        <v>442</v>
      </c>
      <c r="D374" s="923"/>
      <c r="E374" s="178">
        <v>3</v>
      </c>
      <c r="G374" s="822" t="s">
        <v>181</v>
      </c>
      <c r="H374" s="866"/>
      <c r="I374" s="867"/>
    </row>
    <row r="375" spans="1:9" ht="19.5" customHeight="1">
      <c r="A375" s="142"/>
      <c r="B375" s="142"/>
      <c r="C375" s="266">
        <v>4</v>
      </c>
      <c r="D375" s="398" t="s">
        <v>443</v>
      </c>
      <c r="E375" s="251"/>
      <c r="G375" s="529"/>
      <c r="H375" s="644"/>
      <c r="I375" s="644"/>
    </row>
    <row r="376" spans="1:9" ht="19.5" customHeight="1">
      <c r="A376" s="142"/>
      <c r="B376" s="142"/>
      <c r="C376" s="266">
        <v>3</v>
      </c>
      <c r="D376" s="398" t="s">
        <v>444</v>
      </c>
      <c r="E376" s="251"/>
      <c r="G376" s="529"/>
      <c r="H376" s="644"/>
      <c r="I376" s="644"/>
    </row>
    <row r="377" spans="1:9" ht="18.75" customHeight="1">
      <c r="A377" s="142"/>
      <c r="B377" s="142"/>
      <c r="C377" s="266">
        <v>2</v>
      </c>
      <c r="D377" s="398" t="s">
        <v>445</v>
      </c>
      <c r="E377" s="251"/>
      <c r="G377" s="529"/>
      <c r="H377" s="644"/>
      <c r="I377" s="644"/>
    </row>
    <row r="378" spans="1:9" ht="18.75" customHeight="1">
      <c r="A378" s="142"/>
      <c r="B378" s="142"/>
      <c r="C378" s="266">
        <v>1</v>
      </c>
      <c r="D378" s="398" t="s">
        <v>446</v>
      </c>
      <c r="E378" s="251"/>
      <c r="G378" s="529"/>
      <c r="H378" s="644"/>
      <c r="I378" s="644"/>
    </row>
    <row r="379" spans="1:9" ht="18" customHeight="1">
      <c r="A379" s="142"/>
      <c r="B379" s="142"/>
      <c r="C379" s="266">
        <v>0</v>
      </c>
      <c r="D379" s="398" t="s">
        <v>447</v>
      </c>
      <c r="E379" s="251"/>
      <c r="G379" s="529"/>
      <c r="H379" s="644"/>
      <c r="I379" s="644"/>
    </row>
    <row r="380" spans="1:9" ht="15.75" thickBot="1">
      <c r="A380" s="142"/>
      <c r="B380" s="142"/>
      <c r="C380" s="869" t="s">
        <v>90</v>
      </c>
      <c r="D380" s="870"/>
      <c r="E380" s="217">
        <f>IF(OR(E374&lt;0,E374&gt;4), "Salah Isi",E374)</f>
        <v>3</v>
      </c>
      <c r="G380" s="644"/>
      <c r="H380" s="644"/>
      <c r="I380" s="644"/>
    </row>
    <row r="381" spans="1:9" ht="15.75" thickBot="1">
      <c r="A381" s="142"/>
      <c r="B381" s="142"/>
      <c r="C381" s="79"/>
      <c r="D381" s="79"/>
      <c r="G381" s="81"/>
      <c r="H381" s="52"/>
      <c r="I381" s="50"/>
    </row>
    <row r="382" spans="1:9" ht="52.5" customHeight="1">
      <c r="A382" s="141">
        <v>41</v>
      </c>
      <c r="B382" s="141">
        <v>4.0999999999999996</v>
      </c>
      <c r="C382" s="825" t="s">
        <v>448</v>
      </c>
      <c r="D382" s="868"/>
      <c r="E382" s="178">
        <v>2</v>
      </c>
      <c r="G382" s="845" t="s">
        <v>1013</v>
      </c>
      <c r="H382" s="846"/>
      <c r="I382" s="847"/>
    </row>
    <row r="383" spans="1:9" ht="52.5" customHeight="1" thickBot="1">
      <c r="A383" s="142"/>
      <c r="B383" s="142"/>
      <c r="C383" s="171">
        <v>4</v>
      </c>
      <c r="D383" s="282" t="s">
        <v>975</v>
      </c>
      <c r="E383" s="278"/>
      <c r="F383" s="50"/>
      <c r="G383" s="848"/>
      <c r="H383" s="849"/>
      <c r="I383" s="850"/>
    </row>
    <row r="384" spans="1:9" ht="54" customHeight="1">
      <c r="A384" s="141"/>
      <c r="B384" s="141"/>
      <c r="C384" s="171">
        <v>3</v>
      </c>
      <c r="D384" s="285" t="s">
        <v>976</v>
      </c>
      <c r="E384" s="279"/>
      <c r="F384" s="50"/>
      <c r="G384" s="82"/>
      <c r="H384" s="82"/>
      <c r="I384" s="82"/>
    </row>
    <row r="385" spans="1:9" ht="53.25" customHeight="1">
      <c r="A385" s="141"/>
      <c r="B385" s="141"/>
      <c r="C385" s="171">
        <v>2</v>
      </c>
      <c r="D385" s="285" t="s">
        <v>977</v>
      </c>
      <c r="E385" s="279"/>
      <c r="F385" s="50"/>
      <c r="G385" s="82"/>
    </row>
    <row r="386" spans="1:9">
      <c r="A386" s="141"/>
      <c r="B386" s="141"/>
      <c r="C386" s="401">
        <v>1</v>
      </c>
      <c r="D386" s="402" t="s">
        <v>978</v>
      </c>
      <c r="E386" s="400"/>
      <c r="F386" s="50"/>
      <c r="G386" s="82"/>
    </row>
    <row r="387" spans="1:9" ht="15.75" thickBot="1">
      <c r="A387" s="141"/>
      <c r="B387" s="141"/>
      <c r="C387" s="95" t="s">
        <v>90</v>
      </c>
      <c r="D387" s="399"/>
      <c r="E387" s="217">
        <f>IF(OR(E382&lt;1,E382&gt;4), "Salah Isi",E382)</f>
        <v>2</v>
      </c>
      <c r="F387" s="50"/>
      <c r="G387" s="82"/>
    </row>
    <row r="388" spans="1:9" ht="15.75" thickBot="1">
      <c r="A388" s="142"/>
      <c r="B388" s="142"/>
      <c r="C388" s="79"/>
      <c r="D388" s="79"/>
      <c r="G388" s="82"/>
    </row>
    <row r="389" spans="1:9" ht="27.75" customHeight="1" thickBot="1">
      <c r="A389" s="142">
        <v>42</v>
      </c>
      <c r="B389" s="142" t="s">
        <v>45</v>
      </c>
      <c r="C389" s="860" t="s">
        <v>449</v>
      </c>
      <c r="D389" s="861"/>
      <c r="E389" s="178">
        <v>4</v>
      </c>
      <c r="G389" s="822" t="s">
        <v>180</v>
      </c>
      <c r="H389" s="866"/>
      <c r="I389" s="867"/>
    </row>
    <row r="390" spans="1:9" ht="27.75" customHeight="1">
      <c r="A390" s="142"/>
      <c r="B390" s="142"/>
      <c r="C390" s="322">
        <v>4</v>
      </c>
      <c r="D390" s="307" t="s">
        <v>450</v>
      </c>
      <c r="E390" s="251"/>
      <c r="G390" s="529"/>
      <c r="H390" s="644"/>
      <c r="I390" s="644"/>
    </row>
    <row r="391" spans="1:9" ht="27.75" customHeight="1">
      <c r="A391" s="142"/>
      <c r="B391" s="142"/>
      <c r="C391" s="322">
        <v>3</v>
      </c>
      <c r="D391" s="307" t="s">
        <v>451</v>
      </c>
      <c r="E391" s="251"/>
      <c r="G391" s="529"/>
      <c r="H391" s="644"/>
      <c r="I391" s="644"/>
    </row>
    <row r="392" spans="1:9" ht="18" customHeight="1">
      <c r="A392" s="142"/>
      <c r="B392" s="142"/>
      <c r="C392" s="322">
        <v>2</v>
      </c>
      <c r="D392" s="307" t="s">
        <v>452</v>
      </c>
      <c r="E392" s="251"/>
      <c r="G392" s="529"/>
      <c r="H392" s="644"/>
      <c r="I392" s="644"/>
    </row>
    <row r="393" spans="1:9" ht="18" customHeight="1">
      <c r="A393" s="142"/>
      <c r="B393" s="142"/>
      <c r="C393" s="322">
        <v>1</v>
      </c>
      <c r="D393" s="307" t="s">
        <v>453</v>
      </c>
      <c r="E393" s="251"/>
      <c r="G393" s="529"/>
      <c r="H393" s="644"/>
      <c r="I393" s="644"/>
    </row>
    <row r="394" spans="1:9" ht="15.75" customHeight="1">
      <c r="A394" s="142"/>
      <c r="B394" s="142"/>
      <c r="C394" s="322">
        <v>0</v>
      </c>
      <c r="D394" s="307" t="s">
        <v>454</v>
      </c>
      <c r="E394" s="251"/>
      <c r="G394" s="529"/>
      <c r="H394" s="644"/>
      <c r="I394" s="644"/>
    </row>
    <row r="395" spans="1:9" ht="15.75" thickBot="1">
      <c r="A395" s="142"/>
      <c r="B395" s="142"/>
      <c r="C395" s="837" t="s">
        <v>90</v>
      </c>
      <c r="D395" s="838"/>
      <c r="E395" s="217">
        <f>IF(OR(E389&lt;0,E389&gt;4),"Salah Isi", E389)</f>
        <v>4</v>
      </c>
      <c r="G395" s="644"/>
      <c r="H395" s="644"/>
      <c r="I395" s="644"/>
    </row>
    <row r="396" spans="1:9" ht="15.75" thickBot="1">
      <c r="A396" s="142"/>
      <c r="B396" s="142"/>
      <c r="C396" s="79"/>
      <c r="D396" s="79"/>
      <c r="G396" s="81"/>
      <c r="H396" s="52"/>
      <c r="I396" s="50"/>
    </row>
    <row r="397" spans="1:9" ht="28.5" customHeight="1">
      <c r="A397" s="142">
        <v>43</v>
      </c>
      <c r="B397" s="142" t="s">
        <v>46</v>
      </c>
      <c r="C397" s="827" t="s">
        <v>455</v>
      </c>
      <c r="D397" s="904"/>
      <c r="E397" s="178">
        <v>1</v>
      </c>
      <c r="G397" s="845" t="s">
        <v>1014</v>
      </c>
      <c r="H397" s="846"/>
      <c r="I397" s="847"/>
    </row>
    <row r="398" spans="1:9" ht="40.5" customHeight="1" thickBot="1">
      <c r="A398" s="103"/>
      <c r="B398" s="142"/>
      <c r="C398" s="266">
        <v>4</v>
      </c>
      <c r="D398" s="244" t="s">
        <v>979</v>
      </c>
      <c r="E398" s="251"/>
      <c r="G398" s="848"/>
      <c r="H398" s="849"/>
      <c r="I398" s="850"/>
    </row>
    <row r="399" spans="1:9" ht="41.25" customHeight="1">
      <c r="A399" s="103"/>
      <c r="B399" s="142"/>
      <c r="C399" s="266">
        <v>3</v>
      </c>
      <c r="D399" s="289" t="s">
        <v>980</v>
      </c>
      <c r="E399" s="251"/>
      <c r="G399" s="529"/>
      <c r="H399" s="529"/>
      <c r="I399" s="529"/>
    </row>
    <row r="400" spans="1:9" ht="40.5" customHeight="1">
      <c r="A400" s="142"/>
      <c r="B400" s="142"/>
      <c r="C400" s="266">
        <v>2</v>
      </c>
      <c r="D400" s="289" t="s">
        <v>981</v>
      </c>
      <c r="E400" s="251"/>
      <c r="G400" s="529"/>
      <c r="H400" s="644"/>
      <c r="I400" s="644"/>
    </row>
    <row r="401" spans="1:9" ht="42.75" customHeight="1">
      <c r="A401" s="142"/>
      <c r="B401" s="142"/>
      <c r="C401" s="266">
        <v>1</v>
      </c>
      <c r="D401" s="289" t="s">
        <v>456</v>
      </c>
      <c r="E401" s="251"/>
      <c r="G401" s="529"/>
      <c r="H401" s="644"/>
      <c r="I401" s="644"/>
    </row>
    <row r="402" spans="1:9" ht="17.25" customHeight="1">
      <c r="A402" s="142"/>
      <c r="B402" s="142"/>
      <c r="C402" s="266">
        <v>0</v>
      </c>
      <c r="D402" s="305" t="s">
        <v>457</v>
      </c>
      <c r="E402" s="251"/>
      <c r="G402" s="529"/>
      <c r="H402" s="644"/>
      <c r="I402" s="644"/>
    </row>
    <row r="403" spans="1:9" ht="15.75" thickBot="1">
      <c r="A403" s="142"/>
      <c r="B403" s="142"/>
      <c r="C403" s="837" t="s">
        <v>90</v>
      </c>
      <c r="D403" s="838"/>
      <c r="E403" s="217">
        <f>IF(OR(E397&lt;0,E397&gt;4),"Salah Isi", E397)</f>
        <v>1</v>
      </c>
      <c r="G403" s="644"/>
      <c r="H403" s="644"/>
      <c r="I403" s="644"/>
    </row>
    <row r="404" spans="1:9" ht="15.75" thickBot="1">
      <c r="A404" s="142"/>
      <c r="B404" s="142"/>
      <c r="C404" s="79"/>
      <c r="D404" s="79"/>
      <c r="G404" s="81"/>
      <c r="H404" s="52"/>
      <c r="I404" s="50"/>
    </row>
    <row r="405" spans="1:9" ht="36.75" customHeight="1" thickBot="1">
      <c r="A405" s="142">
        <v>44</v>
      </c>
      <c r="B405" s="142" t="s">
        <v>19</v>
      </c>
      <c r="C405" s="827" t="s">
        <v>458</v>
      </c>
      <c r="D405" s="904"/>
      <c r="E405" s="330"/>
      <c r="G405" s="796" t="str">
        <f>"Jumlah mahasiswa pada TS = "&amp;E406&amp; ", Jumlah dosen tetap = "&amp;E407&amp; ", sehingga rasio = "&amp;ROUND(E408,2)</f>
        <v>Jumlah mahasiswa pada TS = 1100, Jumlah dosen tetap = 51, sehingga rasio = 21.57</v>
      </c>
      <c r="H405" s="797"/>
      <c r="I405" s="798"/>
    </row>
    <row r="406" spans="1:9" ht="15" customHeight="1">
      <c r="A406" s="142"/>
      <c r="B406" s="142"/>
      <c r="C406" s="266" t="s">
        <v>461</v>
      </c>
      <c r="D406" s="715" t="s">
        <v>1015</v>
      </c>
      <c r="E406" s="404">
        <v>1100</v>
      </c>
      <c r="G406" s="845" t="s">
        <v>1014</v>
      </c>
      <c r="H406" s="846"/>
      <c r="I406" s="847"/>
    </row>
    <row r="407" spans="1:9" ht="15" customHeight="1" thickBot="1">
      <c r="A407" s="142"/>
      <c r="B407" s="142"/>
      <c r="C407" s="266" t="s">
        <v>460</v>
      </c>
      <c r="D407" s="307" t="s">
        <v>459</v>
      </c>
      <c r="E407" s="405">
        <v>51</v>
      </c>
      <c r="G407" s="848"/>
      <c r="H407" s="849"/>
      <c r="I407" s="850"/>
    </row>
    <row r="408" spans="1:9" ht="18" customHeight="1">
      <c r="A408" s="142"/>
      <c r="B408" s="142"/>
      <c r="C408" s="841" t="s">
        <v>462</v>
      </c>
      <c r="D408" s="932"/>
      <c r="E408" s="216">
        <f>E406/E407</f>
        <v>21.568627450980394</v>
      </c>
      <c r="G408" s="529"/>
      <c r="H408" s="644"/>
      <c r="I408" s="644"/>
    </row>
    <row r="409" spans="1:9" ht="17.25" customHeight="1" thickBot="1">
      <c r="A409" s="142"/>
      <c r="B409" s="142"/>
      <c r="C409" s="869" t="s">
        <v>90</v>
      </c>
      <c r="D409" s="870"/>
      <c r="E409" s="217">
        <f>IF(E408&lt;=30,4,IF(AND(E408&gt;30,E408&lt;50),10-E408/5,0))</f>
        <v>4</v>
      </c>
      <c r="G409" s="644"/>
      <c r="H409" s="644"/>
      <c r="I409" s="644"/>
    </row>
    <row r="410" spans="1:9" ht="15.75" thickBot="1">
      <c r="A410" s="142"/>
      <c r="B410" s="142"/>
      <c r="C410" s="136"/>
      <c r="D410" s="136"/>
      <c r="G410" s="81"/>
      <c r="H410" s="52"/>
      <c r="I410" s="50"/>
    </row>
    <row r="411" spans="1:9" ht="45" customHeight="1" thickBot="1">
      <c r="A411" s="142">
        <v>45</v>
      </c>
      <c r="B411" s="142" t="s">
        <v>20</v>
      </c>
      <c r="C411" s="825" t="s">
        <v>464</v>
      </c>
      <c r="D411" s="826"/>
      <c r="E411" s="182">
        <v>0</v>
      </c>
      <c r="G411" s="796" t="str">
        <f>"Jumlah dosen tetap yang berpendidikan doktor/Sp-2 = "&amp;E411&amp;", Jumlah dosen tetap = "&amp;E412&amp;", sehingga persentase dosen tetap berpendidikan doktor/Sp-2 = "&amp;ROUND(E413*100,2)&amp;"%"</f>
        <v>Jumlah dosen tetap yang berpendidikan doktor/Sp-2 = 0, Jumlah dosen tetap = 51, sehingga persentase dosen tetap berpendidikan doktor/Sp-2 = 0%</v>
      </c>
      <c r="H411" s="797"/>
      <c r="I411" s="798"/>
    </row>
    <row r="412" spans="1:9" ht="18" customHeight="1">
      <c r="A412" s="142"/>
      <c r="B412" s="142"/>
      <c r="C412" s="307" t="s">
        <v>460</v>
      </c>
      <c r="D412" s="406" t="s">
        <v>459</v>
      </c>
      <c r="E412" s="407">
        <f>E407</f>
        <v>51</v>
      </c>
      <c r="G412" s="845" t="s">
        <v>1014</v>
      </c>
      <c r="H412" s="846"/>
      <c r="I412" s="847"/>
    </row>
    <row r="413" spans="1:9" ht="24" customHeight="1" thickBot="1">
      <c r="A413" s="142"/>
      <c r="B413" s="142"/>
      <c r="C413" s="928" t="s">
        <v>463</v>
      </c>
      <c r="D413" s="929"/>
      <c r="E413" s="477">
        <f>E411/E412</f>
        <v>0</v>
      </c>
      <c r="G413" s="848"/>
      <c r="H413" s="849"/>
      <c r="I413" s="850"/>
    </row>
    <row r="414" spans="1:9" ht="15.75" thickBot="1">
      <c r="A414" s="142"/>
      <c r="B414" s="142"/>
      <c r="C414" s="837" t="s">
        <v>90</v>
      </c>
      <c r="D414" s="838"/>
      <c r="E414" s="217">
        <f>IF(E413&gt;=0.5,4,2+4*E413)</f>
        <v>2</v>
      </c>
      <c r="G414" s="81"/>
      <c r="H414" s="52"/>
      <c r="I414" s="50"/>
    </row>
    <row r="415" spans="1:9" ht="15.75" thickBot="1">
      <c r="A415" s="142"/>
      <c r="B415" s="142"/>
      <c r="C415" s="136"/>
      <c r="D415" s="136"/>
      <c r="G415" s="81"/>
      <c r="H415" s="52"/>
      <c r="I415" s="50"/>
    </row>
    <row r="416" spans="1:9" ht="43.5" customHeight="1" thickBot="1">
      <c r="A416" s="142">
        <v>46</v>
      </c>
      <c r="B416" s="142" t="s">
        <v>21</v>
      </c>
      <c r="C416" s="827" t="s">
        <v>465</v>
      </c>
      <c r="D416" s="828"/>
      <c r="E416" s="87"/>
      <c r="G416" s="796" t="str">
        <f>"Persentase dosen dengan jabatan guru besar = "&amp;(ROUND(E418*100,2)&amp;"%"&amp;", Persentase dosen dengan jabatan lektor kepala = "&amp;ROUND(E419*100,2)&amp;"%")</f>
        <v>Persentase dosen dengan jabatan guru besar = 0%, Persentase dosen dengan jabatan lektor kepala = 0%</v>
      </c>
      <c r="H416" s="797"/>
      <c r="I416" s="798"/>
    </row>
    <row r="417" spans="1:9" ht="27" customHeight="1">
      <c r="A417" s="142"/>
      <c r="B417" s="142"/>
      <c r="C417" s="924" t="s">
        <v>466</v>
      </c>
      <c r="D417" s="937"/>
      <c r="E417" s="85">
        <v>1</v>
      </c>
      <c r="F417" s="30" t="str">
        <f>IF(OR(E417=1,E417=0),"Benar","Salah")</f>
        <v>Benar</v>
      </c>
      <c r="G417" s="845" t="s">
        <v>1014</v>
      </c>
      <c r="H417" s="846"/>
      <c r="I417" s="847"/>
    </row>
    <row r="418" spans="1:9" ht="15.75" thickBot="1">
      <c r="A418" s="142"/>
      <c r="B418" s="142"/>
      <c r="C418" s="841" t="s">
        <v>467</v>
      </c>
      <c r="D418" s="842"/>
      <c r="E418" s="409">
        <v>0</v>
      </c>
      <c r="G418" s="848"/>
      <c r="H418" s="849"/>
      <c r="I418" s="850"/>
    </row>
    <row r="419" spans="1:9" ht="15" customHeight="1">
      <c r="A419" s="142"/>
      <c r="B419" s="142"/>
      <c r="C419" s="841" t="s">
        <v>468</v>
      </c>
      <c r="D419" s="842"/>
      <c r="E419" s="408">
        <v>0</v>
      </c>
      <c r="G419" s="520"/>
      <c r="H419" s="52"/>
      <c r="I419" s="50"/>
    </row>
    <row r="420" spans="1:9" ht="15.75" thickBot="1">
      <c r="A420" s="142"/>
      <c r="B420" s="142"/>
      <c r="C420" s="837" t="s">
        <v>90</v>
      </c>
      <c r="D420" s="838"/>
      <c r="E420" s="217">
        <f>IF(E417=1,IF(E418&gt;=0.3,4,2+20*E418/3),IF(E419&gt;=0.5,4,1+6*E419))</f>
        <v>2</v>
      </c>
      <c r="F420" s="143"/>
      <c r="G420" s="81"/>
      <c r="H420" s="52"/>
      <c r="I420" s="50"/>
    </row>
    <row r="421" spans="1:9" ht="15.75" thickBot="1">
      <c r="A421" s="142"/>
      <c r="B421" s="142"/>
      <c r="C421" s="79"/>
      <c r="D421" s="79"/>
      <c r="G421" s="81"/>
      <c r="H421" s="52"/>
      <c r="I421" s="50"/>
    </row>
    <row r="422" spans="1:9" ht="53.25" customHeight="1" thickBot="1">
      <c r="A422" s="141">
        <v>47</v>
      </c>
      <c r="B422" s="141" t="s">
        <v>47</v>
      </c>
      <c r="C422" s="930" t="s">
        <v>469</v>
      </c>
      <c r="D422" s="931"/>
      <c r="E422" s="84"/>
      <c r="F422" s="50"/>
      <c r="G422" s="796" t="str">
        <f>"Jumlah dosen tidak tetap = "&amp;E423&amp;", Jumlah seluruh dosen (tetap + tidak tetap) =" &amp;E424&amp;", sehingga persentase jumlah dosen tidak tetap terhadap jumlah seluruh dosen = "&amp;ROUND(E425*100,2)&amp;"%"</f>
        <v>Jumlah dosen tidak tetap = 10, Jumlah seluruh dosen (tetap + tidak tetap) =500, sehingga persentase jumlah dosen tidak tetap terhadap jumlah seluruh dosen = 2%</v>
      </c>
      <c r="H422" s="797"/>
      <c r="I422" s="798"/>
    </row>
    <row r="423" spans="1:9" ht="16.5" customHeight="1">
      <c r="A423" s="141"/>
      <c r="B423" s="141"/>
      <c r="C423" s="938" t="s">
        <v>471</v>
      </c>
      <c r="D423" s="939"/>
      <c r="E423" s="85">
        <v>10</v>
      </c>
      <c r="F423" s="158"/>
      <c r="G423" s="845" t="s">
        <v>1014</v>
      </c>
      <c r="H423" s="846"/>
      <c r="I423" s="847"/>
    </row>
    <row r="424" spans="1:9" ht="15.75" customHeight="1" thickBot="1">
      <c r="A424" s="142"/>
      <c r="B424" s="142"/>
      <c r="C424" s="935" t="s">
        <v>472</v>
      </c>
      <c r="D424" s="936"/>
      <c r="E424" s="85">
        <v>500</v>
      </c>
      <c r="F424" s="54"/>
      <c r="G424" s="848"/>
      <c r="H424" s="849"/>
      <c r="I424" s="850"/>
    </row>
    <row r="425" spans="1:9" ht="28.5" customHeight="1">
      <c r="A425" s="141"/>
      <c r="B425" s="141"/>
      <c r="C425" s="933" t="s">
        <v>470</v>
      </c>
      <c r="D425" s="934"/>
      <c r="E425" s="445">
        <f>E423/E424</f>
        <v>0.02</v>
      </c>
      <c r="F425" s="54"/>
      <c r="G425" s="82"/>
    </row>
    <row r="426" spans="1:9" ht="15.75" thickBot="1">
      <c r="A426" s="141"/>
      <c r="B426" s="141"/>
      <c r="C426" s="835" t="s">
        <v>90</v>
      </c>
      <c r="D426" s="836"/>
      <c r="E426" s="217">
        <f>IF(E425&lt;=0.1,4,IF(AND(E425&gt;0.1,E425&lt;0.5),10*(0.5-E425),0))</f>
        <v>4</v>
      </c>
      <c r="F426" s="56"/>
      <c r="G426" s="82"/>
    </row>
    <row r="427" spans="1:9" ht="15.75" thickBot="1">
      <c r="A427" s="141"/>
      <c r="B427" s="141"/>
      <c r="C427" s="91"/>
      <c r="D427" s="91"/>
      <c r="E427" s="50"/>
      <c r="F427" s="50"/>
      <c r="G427" s="82"/>
    </row>
    <row r="428" spans="1:9" ht="65.25" customHeight="1" thickBot="1">
      <c r="A428" s="142">
        <v>48</v>
      </c>
      <c r="B428" s="142">
        <v>4.4000000000000004</v>
      </c>
      <c r="C428" s="827" t="s">
        <v>473</v>
      </c>
      <c r="D428" s="828"/>
      <c r="E428" s="330"/>
      <c r="G428" s="796" t="str">
        <f>"Banyaknya dosen yang mengikuti pendidikan tanpa gelar = "&amp;E429&amp;", Banyaknya dosen yang mengikuti pendidikan S2/Sp-1 = "&amp;E430&amp;", Banyaknya dosen yang mengikuti pendidikan S3/Sp-2 = "&amp;E431&amp;", banyaknya prodi = "&amp;E432&amp;" maka skor SP = "&amp;ROUND(E433,2)</f>
        <v>Banyaknya dosen yang mengikuti pendidikan tanpa gelar = 5, Banyaknya dosen yang mengikuti pendidikan S2/Sp-1 = 20, Banyaknya dosen yang mengikuti pendidikan S3/Sp-2 = 15, banyaknya prodi = 3 maka skor SP = 11.67</v>
      </c>
      <c r="H428" s="797"/>
      <c r="I428" s="798"/>
    </row>
    <row r="429" spans="1:9" ht="16.5" customHeight="1">
      <c r="A429" s="142"/>
      <c r="B429" s="142"/>
      <c r="C429" s="410" t="s">
        <v>475</v>
      </c>
      <c r="D429" s="294" t="s">
        <v>474</v>
      </c>
      <c r="E429" s="179">
        <v>5</v>
      </c>
      <c r="G429" s="845" t="s">
        <v>1014</v>
      </c>
      <c r="H429" s="846"/>
      <c r="I429" s="847"/>
    </row>
    <row r="430" spans="1:9" ht="16.5" customHeight="1" thickBot="1">
      <c r="A430" s="142"/>
      <c r="B430" s="142"/>
      <c r="C430" s="329" t="s">
        <v>478</v>
      </c>
      <c r="D430" s="307" t="s">
        <v>476</v>
      </c>
      <c r="E430" s="179">
        <v>20</v>
      </c>
      <c r="G430" s="848"/>
      <c r="H430" s="849"/>
      <c r="I430" s="850"/>
    </row>
    <row r="431" spans="1:9" ht="16.5" customHeight="1">
      <c r="A431" s="142"/>
      <c r="B431" s="142"/>
      <c r="C431" s="329" t="s">
        <v>479</v>
      </c>
      <c r="D431" s="307" t="s">
        <v>477</v>
      </c>
      <c r="E431" s="405">
        <v>15</v>
      </c>
      <c r="G431" s="529"/>
      <c r="H431" s="529"/>
      <c r="I431" s="529"/>
    </row>
    <row r="432" spans="1:9" ht="16.5" customHeight="1">
      <c r="A432" s="142"/>
      <c r="B432" s="142"/>
      <c r="C432" s="329" t="s">
        <v>480</v>
      </c>
      <c r="D432" s="595" t="s">
        <v>948</v>
      </c>
      <c r="E432" s="411">
        <f>E142</f>
        <v>3</v>
      </c>
      <c r="G432" s="529"/>
      <c r="H432" s="529"/>
      <c r="I432" s="529"/>
    </row>
    <row r="433" spans="1:9" ht="16.5" customHeight="1">
      <c r="A433" s="142"/>
      <c r="B433" s="142"/>
      <c r="C433" s="924" t="s">
        <v>481</v>
      </c>
      <c r="D433" s="925"/>
      <c r="E433" s="216">
        <f>(0.25*E429+0.75*E430+1.25*E431)/E432</f>
        <v>11.666666666666666</v>
      </c>
      <c r="G433" s="529"/>
      <c r="H433" s="529"/>
      <c r="I433" s="529"/>
    </row>
    <row r="434" spans="1:9" ht="15.75" thickBot="1">
      <c r="A434" s="142"/>
      <c r="B434" s="142"/>
      <c r="C434" s="837" t="s">
        <v>90</v>
      </c>
      <c r="D434" s="838"/>
      <c r="E434" s="217">
        <f>IF(E413&gt;=0.5,4,IF(E433&gt;=4,4,E433))</f>
        <v>4</v>
      </c>
      <c r="G434" s="529"/>
      <c r="H434" s="529"/>
      <c r="I434" s="529"/>
    </row>
    <row r="435" spans="1:9" ht="15.75" thickBot="1">
      <c r="A435" s="142"/>
      <c r="B435" s="142"/>
      <c r="C435" s="79"/>
      <c r="D435" s="79"/>
      <c r="G435" s="81"/>
      <c r="H435" s="52"/>
      <c r="I435" s="50"/>
    </row>
    <row r="436" spans="1:9" ht="67.5" customHeight="1" thickBot="1">
      <c r="A436" s="142">
        <v>49</v>
      </c>
      <c r="B436" s="142" t="s">
        <v>482</v>
      </c>
      <c r="C436" s="860" t="s">
        <v>483</v>
      </c>
      <c r="D436" s="861"/>
      <c r="E436" s="330"/>
      <c r="G436" s="796" t="str">
        <f>"Jumlah pustakawan yang berpendidikan S2/S3/Special Librarian = "&amp;E437&amp;", Jumlah pustakawan yang berpendidikan D4 atau S1 = "&amp;E438&amp;", Jumlah pustakawan yang berpendidikan D1, D2, atau D3 = "&amp;E439&amp;" sehingga skor A = "&amp;ROUND(E440,2)</f>
        <v>Jumlah pustakawan yang berpendidikan S2/S3/Special Librarian = 0, Jumlah pustakawan yang berpendidikan D4 atau S1 = 2, Jumlah pustakawan yang berpendidikan D1, D2, atau D3 = 2 sehingga skor A = 2.5</v>
      </c>
      <c r="H436" s="797"/>
      <c r="I436" s="798"/>
    </row>
    <row r="437" spans="1:9" ht="16.5" customHeight="1">
      <c r="A437" s="142"/>
      <c r="B437" s="142"/>
      <c r="C437" s="329" t="s">
        <v>487</v>
      </c>
      <c r="D437" s="307" t="s">
        <v>484</v>
      </c>
      <c r="E437" s="179">
        <v>0</v>
      </c>
      <c r="G437" s="845" t="s">
        <v>1014</v>
      </c>
      <c r="H437" s="846"/>
      <c r="I437" s="847"/>
    </row>
    <row r="438" spans="1:9" ht="15.75" customHeight="1" thickBot="1">
      <c r="A438" s="142"/>
      <c r="B438" s="142"/>
      <c r="C438" s="329" t="s">
        <v>488</v>
      </c>
      <c r="D438" s="307" t="s">
        <v>485</v>
      </c>
      <c r="E438" s="179">
        <v>2</v>
      </c>
      <c r="G438" s="848"/>
      <c r="H438" s="849"/>
      <c r="I438" s="850"/>
    </row>
    <row r="439" spans="1:9" ht="15.75" customHeight="1">
      <c r="A439" s="142"/>
      <c r="B439" s="142"/>
      <c r="C439" s="329" t="s">
        <v>489</v>
      </c>
      <c r="D439" s="307" t="s">
        <v>486</v>
      </c>
      <c r="E439" s="179">
        <v>2</v>
      </c>
      <c r="G439" s="645"/>
      <c r="H439" s="643"/>
      <c r="I439" s="643"/>
    </row>
    <row r="440" spans="1:9" ht="15.75" customHeight="1">
      <c r="A440" s="142"/>
      <c r="B440" s="142"/>
      <c r="C440" s="926" t="s">
        <v>490</v>
      </c>
      <c r="D440" s="927"/>
      <c r="E440" s="227">
        <f>(4*E437+3*E438+2*E439)/4</f>
        <v>2.5</v>
      </c>
      <c r="G440" s="645"/>
      <c r="H440" s="643"/>
      <c r="I440" s="643"/>
    </row>
    <row r="441" spans="1:9" ht="15.75" thickBot="1">
      <c r="A441" s="142"/>
      <c r="B441" s="142"/>
      <c r="C441" s="837" t="s">
        <v>90</v>
      </c>
      <c r="D441" s="838"/>
      <c r="E441" s="217">
        <f>IF(E440&gt;=4,4,E440)</f>
        <v>2.5</v>
      </c>
      <c r="G441" s="81"/>
      <c r="H441" s="52"/>
      <c r="I441" s="50"/>
    </row>
    <row r="442" spans="1:9" ht="15.75" thickBot="1">
      <c r="A442" s="142"/>
      <c r="B442" s="142"/>
      <c r="C442" s="136"/>
      <c r="D442" s="136"/>
      <c r="G442" s="81"/>
      <c r="H442" s="52"/>
      <c r="I442" s="50"/>
    </row>
    <row r="443" spans="1:9" ht="41.25" customHeight="1" thickBot="1">
      <c r="A443" s="142">
        <v>50</v>
      </c>
      <c r="B443" s="142" t="s">
        <v>491</v>
      </c>
      <c r="C443" s="860" t="s">
        <v>492</v>
      </c>
      <c r="D443" s="861"/>
      <c r="E443" s="178">
        <v>2.25</v>
      </c>
      <c r="G443" s="822" t="s">
        <v>182</v>
      </c>
      <c r="H443" s="823"/>
      <c r="I443" s="824"/>
    </row>
    <row r="444" spans="1:9" ht="16.5" customHeight="1">
      <c r="A444" s="142"/>
      <c r="B444" s="142"/>
      <c r="C444" s="266">
        <v>4</v>
      </c>
      <c r="D444" s="307" t="s">
        <v>493</v>
      </c>
      <c r="E444" s="251"/>
      <c r="G444" s="645"/>
      <c r="H444" s="643"/>
      <c r="I444" s="643"/>
    </row>
    <row r="445" spans="1:9" ht="17.25" customHeight="1">
      <c r="A445" s="142"/>
      <c r="B445" s="142"/>
      <c r="C445" s="266">
        <v>3</v>
      </c>
      <c r="D445" s="307" t="s">
        <v>494</v>
      </c>
      <c r="E445" s="251"/>
      <c r="G445" s="645"/>
      <c r="H445" s="643"/>
      <c r="I445" s="643"/>
    </row>
    <row r="446" spans="1:9" ht="27" customHeight="1">
      <c r="A446" s="142"/>
      <c r="B446" s="142"/>
      <c r="C446" s="266">
        <v>2</v>
      </c>
      <c r="D446" s="307" t="s">
        <v>495</v>
      </c>
      <c r="E446" s="251"/>
      <c r="G446" s="645"/>
      <c r="H446" s="643"/>
      <c r="I446" s="643"/>
    </row>
    <row r="447" spans="1:9" ht="27.75" customHeight="1" thickBot="1">
      <c r="A447" s="142"/>
      <c r="B447" s="142"/>
      <c r="C447" s="412">
        <v>1</v>
      </c>
      <c r="D447" s="413" t="s">
        <v>496</v>
      </c>
      <c r="E447" s="414"/>
      <c r="G447" s="645"/>
      <c r="H447" s="643"/>
      <c r="I447" s="643"/>
    </row>
    <row r="448" spans="1:9" ht="15.75" thickBot="1">
      <c r="A448" s="142"/>
      <c r="B448" s="142"/>
      <c r="C448" s="969" t="s">
        <v>90</v>
      </c>
      <c r="D448" s="970"/>
      <c r="E448" s="217">
        <f>IF(OR(E443&lt;1,E443&gt;4), "Salah Isi",E443)</f>
        <v>2.25</v>
      </c>
      <c r="F448" t="str">
        <f>IF(OR(E443=0,E443=3),"&lt;-- Tidak boleh skor nol atau tiga","")</f>
        <v/>
      </c>
      <c r="G448" s="81"/>
      <c r="H448" s="52"/>
      <c r="I448" s="50"/>
    </row>
    <row r="449" spans="1:9" ht="15.75" thickBot="1">
      <c r="A449" s="142"/>
      <c r="B449" s="142"/>
      <c r="C449" s="136"/>
      <c r="D449" s="136"/>
      <c r="G449" s="81"/>
      <c r="H449" s="52"/>
      <c r="I449" s="50"/>
    </row>
    <row r="450" spans="1:9" ht="54" customHeight="1" thickBot="1">
      <c r="A450" s="142">
        <v>51</v>
      </c>
      <c r="B450" s="142" t="s">
        <v>497</v>
      </c>
      <c r="C450" s="827" t="s">
        <v>807</v>
      </c>
      <c r="D450" s="971"/>
      <c r="E450" s="178">
        <v>2.75</v>
      </c>
      <c r="G450" s="822" t="s">
        <v>183</v>
      </c>
      <c r="H450" s="823"/>
      <c r="I450" s="824"/>
    </row>
    <row r="451" spans="1:9">
      <c r="A451" s="142"/>
      <c r="B451" s="142"/>
      <c r="C451" s="415">
        <v>4</v>
      </c>
      <c r="D451" s="416" t="s">
        <v>493</v>
      </c>
      <c r="E451" s="420"/>
      <c r="G451" s="643"/>
      <c r="H451" s="643"/>
      <c r="I451" s="643"/>
    </row>
    <row r="452" spans="1:9">
      <c r="A452" s="142"/>
      <c r="B452" s="142"/>
      <c r="C452" s="415">
        <v>3</v>
      </c>
      <c r="D452" s="418" t="s">
        <v>494</v>
      </c>
      <c r="E452" s="291"/>
      <c r="G452" s="643"/>
      <c r="H452" s="643"/>
      <c r="I452" s="643"/>
    </row>
    <row r="453" spans="1:9" ht="26.25">
      <c r="A453" s="142"/>
      <c r="B453" s="142"/>
      <c r="C453" s="415">
        <v>2</v>
      </c>
      <c r="D453" s="419" t="s">
        <v>495</v>
      </c>
      <c r="E453" s="291"/>
      <c r="G453" s="643"/>
      <c r="H453" s="643"/>
      <c r="I453" s="643"/>
    </row>
    <row r="454" spans="1:9" ht="26.25">
      <c r="A454" s="142"/>
      <c r="B454" s="142"/>
      <c r="C454" s="415">
        <v>1</v>
      </c>
      <c r="D454" s="417" t="s">
        <v>496</v>
      </c>
      <c r="E454" s="421"/>
      <c r="G454" s="643"/>
      <c r="H454" s="643"/>
      <c r="I454" s="643"/>
    </row>
    <row r="455" spans="1:9" ht="15.75" thickBot="1">
      <c r="A455" s="142"/>
      <c r="B455" s="142"/>
      <c r="C455" s="837" t="s">
        <v>90</v>
      </c>
      <c r="D455" s="838"/>
      <c r="E455" s="217">
        <f>IF(OR(E450&lt;1,E450&gt;4), "Salah Isi",E450)</f>
        <v>2.75</v>
      </c>
      <c r="F455" s="143"/>
      <c r="G455" s="81"/>
      <c r="H455" s="52"/>
      <c r="I455" s="50"/>
    </row>
    <row r="456" spans="1:9" ht="15.75" thickBot="1">
      <c r="A456" s="142"/>
      <c r="B456" s="142"/>
      <c r="C456" s="136"/>
      <c r="D456" s="136"/>
      <c r="G456" s="81"/>
      <c r="H456" s="52"/>
      <c r="I456" s="50"/>
    </row>
    <row r="457" spans="1:9" ht="53.25" customHeight="1" thickBot="1">
      <c r="A457" s="142">
        <v>52</v>
      </c>
      <c r="B457" s="142" t="s">
        <v>498</v>
      </c>
      <c r="C457" s="860" t="s">
        <v>808</v>
      </c>
      <c r="D457" s="861"/>
      <c r="E457" s="87"/>
      <c r="G457" s="796" t="str">
        <f>"Jumlah laboran/teknisi/analis/operator/programer = "&amp;E458&amp;", Jumlah laboran/teknisi/analis/operator/programer yg memiliki sertifikat kompetensi = "&amp;E459&amp;", sehingga persentase ="&amp;ROUND(E460*100,2)&amp;"%"</f>
        <v>Jumlah laboran/teknisi/analis/operator/programer = 10, Jumlah laboran/teknisi/analis/operator/programer yg memiliki sertifikat kompetensi = 1, sehingga persentase =10%</v>
      </c>
      <c r="H457" s="797"/>
      <c r="I457" s="798"/>
    </row>
    <row r="458" spans="1:9">
      <c r="A458" s="142"/>
      <c r="B458" s="142"/>
      <c r="C458" s="972" t="s">
        <v>499</v>
      </c>
      <c r="D458" s="973"/>
      <c r="E458" s="179">
        <v>10</v>
      </c>
      <c r="G458" s="845" t="s">
        <v>1014</v>
      </c>
      <c r="H458" s="846"/>
      <c r="I458" s="847"/>
    </row>
    <row r="459" spans="1:9" ht="27.75" customHeight="1" thickBot="1">
      <c r="A459" s="142"/>
      <c r="B459" s="142"/>
      <c r="C459" s="974" t="s">
        <v>500</v>
      </c>
      <c r="D459" s="975"/>
      <c r="E459" s="327">
        <v>1</v>
      </c>
      <c r="G459" s="848"/>
      <c r="H459" s="849"/>
      <c r="I459" s="850"/>
    </row>
    <row r="460" spans="1:9" ht="13.5" customHeight="1">
      <c r="A460" s="142"/>
      <c r="B460" s="142"/>
      <c r="C460" s="974" t="s">
        <v>501</v>
      </c>
      <c r="D460" s="976"/>
      <c r="E460" s="422">
        <f>E459/E458</f>
        <v>0.1</v>
      </c>
      <c r="G460" s="82"/>
    </row>
    <row r="461" spans="1:9" ht="15.75" thickBot="1">
      <c r="A461" s="142"/>
      <c r="B461" s="142"/>
      <c r="C461" s="955" t="s">
        <v>90</v>
      </c>
      <c r="D461" s="838"/>
      <c r="E461" s="217">
        <f>IF(E460&gt;=0.7,4,40*E460/7)</f>
        <v>0.5714285714285714</v>
      </c>
      <c r="F461" s="143"/>
      <c r="G461" s="82"/>
    </row>
    <row r="462" spans="1:9" ht="15.75" thickBot="1">
      <c r="A462" s="142"/>
      <c r="B462" s="142"/>
      <c r="C462" s="136"/>
      <c r="D462" s="136"/>
      <c r="F462" s="143"/>
      <c r="G462" s="82"/>
    </row>
    <row r="463" spans="1:9" ht="30" customHeight="1">
      <c r="A463" s="142">
        <v>53</v>
      </c>
      <c r="B463" s="142" t="s">
        <v>48</v>
      </c>
      <c r="C463" s="825" t="s">
        <v>502</v>
      </c>
      <c r="D463" s="868"/>
      <c r="E463" s="178">
        <v>2.75</v>
      </c>
      <c r="F463" s="143"/>
      <c r="G463" s="790" t="s">
        <v>184</v>
      </c>
      <c r="H463" s="791"/>
      <c r="I463" s="792"/>
    </row>
    <row r="464" spans="1:9" ht="57" customHeight="1" thickBot="1">
      <c r="A464" s="142"/>
      <c r="B464" s="142"/>
      <c r="C464" s="322">
        <v>4</v>
      </c>
      <c r="D464" s="315" t="s">
        <v>503</v>
      </c>
      <c r="E464" s="251"/>
      <c r="F464" s="143"/>
      <c r="G464" s="793"/>
      <c r="H464" s="794"/>
      <c r="I464" s="795"/>
    </row>
    <row r="465" spans="1:9" ht="53.25" customHeight="1">
      <c r="A465" s="142"/>
      <c r="B465" s="142"/>
      <c r="C465" s="322">
        <v>3</v>
      </c>
      <c r="D465" s="307" t="s">
        <v>504</v>
      </c>
      <c r="E465" s="251"/>
      <c r="F465" s="423"/>
      <c r="G465" s="529"/>
      <c r="H465" s="644"/>
      <c r="I465" s="644"/>
    </row>
    <row r="466" spans="1:9" ht="55.5" customHeight="1">
      <c r="A466" s="142"/>
      <c r="B466" s="142"/>
      <c r="C466" s="322">
        <v>2</v>
      </c>
      <c r="D466" s="307" t="s">
        <v>505</v>
      </c>
      <c r="E466" s="251"/>
      <c r="F466" s="143"/>
      <c r="G466" s="529"/>
      <c r="H466" s="644"/>
      <c r="I466" s="644"/>
    </row>
    <row r="467" spans="1:9" ht="57" customHeight="1">
      <c r="A467" s="142"/>
      <c r="B467" s="142"/>
      <c r="C467" s="322">
        <v>1</v>
      </c>
      <c r="D467" s="307" t="s">
        <v>506</v>
      </c>
      <c r="E467" s="251"/>
      <c r="F467" s="143"/>
      <c r="G467" s="529"/>
      <c r="H467" s="644"/>
      <c r="I467" s="644"/>
    </row>
    <row r="468" spans="1:9" ht="17.25" customHeight="1">
      <c r="A468" s="142"/>
      <c r="B468" s="142"/>
      <c r="C468" s="322">
        <v>0</v>
      </c>
      <c r="D468" s="323" t="s">
        <v>507</v>
      </c>
      <c r="E468" s="251"/>
      <c r="F468" s="143"/>
      <c r="G468" s="529"/>
      <c r="H468" s="644"/>
      <c r="I468" s="644"/>
    </row>
    <row r="469" spans="1:9" ht="15.75" thickBot="1">
      <c r="A469" s="142"/>
      <c r="B469" s="142"/>
      <c r="C469" s="837" t="s">
        <v>90</v>
      </c>
      <c r="D469" s="838"/>
      <c r="E469" s="217">
        <f>IF(OR(E463&lt;0,E463&gt;4), "Salah Isi",E463)</f>
        <v>2.75</v>
      </c>
      <c r="F469" s="143"/>
      <c r="G469" s="644"/>
      <c r="H469" s="644"/>
      <c r="I469" s="644"/>
    </row>
    <row r="470" spans="1:9" ht="15.75" thickBot="1">
      <c r="A470" s="142"/>
      <c r="B470" s="142"/>
      <c r="C470" s="136"/>
      <c r="D470" s="136"/>
      <c r="F470" s="143"/>
      <c r="G470" s="81"/>
      <c r="H470" s="52"/>
      <c r="I470" s="50"/>
    </row>
    <row r="471" spans="1:9" ht="32.25" customHeight="1">
      <c r="A471" s="142">
        <v>54</v>
      </c>
      <c r="B471" s="142" t="s">
        <v>508</v>
      </c>
      <c r="C471" s="825" t="s">
        <v>509</v>
      </c>
      <c r="D471" s="868"/>
      <c r="E471" s="178">
        <v>2.75</v>
      </c>
      <c r="F471" s="143"/>
      <c r="G471" s="790" t="s">
        <v>185</v>
      </c>
      <c r="H471" s="791"/>
      <c r="I471" s="792"/>
    </row>
    <row r="472" spans="1:9" ht="19.5" customHeight="1" thickBot="1">
      <c r="A472" s="142"/>
      <c r="B472" s="142"/>
      <c r="C472" s="266">
        <v>4</v>
      </c>
      <c r="D472" s="403" t="s">
        <v>511</v>
      </c>
      <c r="E472" s="251"/>
      <c r="F472" s="143"/>
      <c r="G472" s="793"/>
      <c r="H472" s="794"/>
      <c r="I472" s="795"/>
    </row>
    <row r="473" spans="1:9" ht="27.75" customHeight="1">
      <c r="A473" s="142"/>
      <c r="B473" s="142"/>
      <c r="C473" s="266">
        <v>3</v>
      </c>
      <c r="D473" s="403" t="s">
        <v>512</v>
      </c>
      <c r="E473" s="251"/>
      <c r="F473" s="143"/>
      <c r="G473" s="529"/>
      <c r="H473" s="644"/>
      <c r="I473" s="644"/>
    </row>
    <row r="474" spans="1:9" ht="27" customHeight="1">
      <c r="A474" s="142"/>
      <c r="B474" s="142"/>
      <c r="C474" s="266">
        <v>2</v>
      </c>
      <c r="D474" s="403" t="s">
        <v>513</v>
      </c>
      <c r="E474" s="251"/>
      <c r="F474" s="143"/>
      <c r="G474" s="529"/>
      <c r="H474" s="644"/>
      <c r="I474" s="644"/>
    </row>
    <row r="475" spans="1:9" ht="39.75" customHeight="1">
      <c r="A475" s="142"/>
      <c r="B475" s="142"/>
      <c r="C475" s="266">
        <v>1</v>
      </c>
      <c r="D475" s="271" t="s">
        <v>510</v>
      </c>
      <c r="E475" s="251"/>
      <c r="F475" s="143"/>
      <c r="G475" s="529"/>
      <c r="H475" s="644"/>
      <c r="I475" s="644"/>
    </row>
    <row r="476" spans="1:9" ht="15.75" thickBot="1">
      <c r="A476" s="142"/>
      <c r="B476" s="142"/>
      <c r="C476" s="837" t="s">
        <v>90</v>
      </c>
      <c r="D476" s="838"/>
      <c r="E476" s="217">
        <f>IF(OR(E471&lt;1,E471&gt;4), "Salah Isi",E471)</f>
        <v>2.75</v>
      </c>
      <c r="F476" s="143"/>
      <c r="G476" s="644"/>
      <c r="H476" s="644"/>
      <c r="I476" s="644"/>
    </row>
    <row r="477" spans="1:9" ht="15.75" thickBot="1">
      <c r="A477" s="142"/>
      <c r="B477" s="103"/>
      <c r="C477" s="136"/>
      <c r="D477" s="136"/>
      <c r="G477" s="81"/>
      <c r="H477" s="52"/>
      <c r="I477" s="50"/>
    </row>
    <row r="478" spans="1:9" ht="39.75" customHeight="1">
      <c r="A478" s="142">
        <v>55</v>
      </c>
      <c r="B478" s="142" t="s">
        <v>49</v>
      </c>
      <c r="C478" s="827" t="s">
        <v>514</v>
      </c>
      <c r="D478" s="828"/>
      <c r="E478" s="178">
        <v>2.5</v>
      </c>
      <c r="G478" s="790" t="s">
        <v>537</v>
      </c>
      <c r="H478" s="820"/>
      <c r="I478" s="821"/>
    </row>
    <row r="479" spans="1:9" ht="26.25" customHeight="1" thickBot="1">
      <c r="A479" s="142"/>
      <c r="B479" s="142"/>
      <c r="C479" s="317">
        <v>4</v>
      </c>
      <c r="D479" s="403" t="s">
        <v>515</v>
      </c>
      <c r="E479" s="262"/>
      <c r="F479" s="154"/>
      <c r="G479" s="802"/>
      <c r="H479" s="803"/>
      <c r="I479" s="804"/>
    </row>
    <row r="480" spans="1:9" ht="27" customHeight="1">
      <c r="A480" s="142"/>
      <c r="B480" s="142"/>
      <c r="C480" s="317">
        <v>3</v>
      </c>
      <c r="D480" s="425" t="s">
        <v>516</v>
      </c>
      <c r="E480" s="328"/>
      <c r="F480" s="154"/>
      <c r="G480" s="82"/>
    </row>
    <row r="481" spans="1:9" ht="28.5" customHeight="1">
      <c r="A481" s="142"/>
      <c r="B481" s="142"/>
      <c r="C481" s="317">
        <v>2</v>
      </c>
      <c r="D481" s="403" t="s">
        <v>517</v>
      </c>
      <c r="E481" s="263"/>
      <c r="G481" s="82"/>
    </row>
    <row r="482" spans="1:9">
      <c r="A482" s="142"/>
      <c r="B482" s="103"/>
      <c r="C482" s="424">
        <v>1</v>
      </c>
      <c r="D482" s="309" t="s">
        <v>518</v>
      </c>
      <c r="E482" s="262"/>
      <c r="G482" s="82"/>
    </row>
    <row r="483" spans="1:9" ht="15.75" thickBot="1">
      <c r="A483" s="142"/>
      <c r="B483" s="103"/>
      <c r="C483" s="837" t="s">
        <v>90</v>
      </c>
      <c r="D483" s="838"/>
      <c r="E483" s="217">
        <f>IF(OR(E478&lt;1,E478&gt;4), "Salah Isi",E478)</f>
        <v>2.5</v>
      </c>
      <c r="G483" s="82"/>
    </row>
    <row r="484" spans="1:9" ht="15.75" thickBot="1">
      <c r="A484" s="142"/>
      <c r="B484" s="103"/>
      <c r="C484" s="136"/>
      <c r="D484" s="136"/>
      <c r="G484" s="82"/>
    </row>
    <row r="485" spans="1:9" ht="27.75" customHeight="1">
      <c r="A485" s="142">
        <v>56</v>
      </c>
      <c r="B485" s="142" t="s">
        <v>519</v>
      </c>
      <c r="C485" s="827" t="s">
        <v>520</v>
      </c>
      <c r="D485" s="828"/>
      <c r="E485" s="178">
        <v>2.6</v>
      </c>
      <c r="G485" s="790" t="s">
        <v>168</v>
      </c>
      <c r="H485" s="820"/>
      <c r="I485" s="821"/>
    </row>
    <row r="486" spans="1:9" ht="80.25" customHeight="1" thickBot="1">
      <c r="A486" s="142"/>
      <c r="B486" s="142"/>
      <c r="C486" s="266">
        <v>4</v>
      </c>
      <c r="D486" s="294" t="s">
        <v>521</v>
      </c>
      <c r="E486" s="251"/>
      <c r="G486" s="802"/>
      <c r="H486" s="803"/>
      <c r="I486" s="804"/>
    </row>
    <row r="487" spans="1:9" ht="78.75" customHeight="1">
      <c r="A487" s="142"/>
      <c r="B487" s="142"/>
      <c r="C487" s="266">
        <v>3</v>
      </c>
      <c r="D487" s="403" t="s">
        <v>522</v>
      </c>
      <c r="E487" s="251"/>
      <c r="G487" s="644"/>
      <c r="H487" s="644"/>
      <c r="I487" s="644"/>
    </row>
    <row r="488" spans="1:9" ht="79.5" customHeight="1">
      <c r="A488" s="142"/>
      <c r="B488" s="142"/>
      <c r="C488" s="266">
        <v>2</v>
      </c>
      <c r="D488" s="403" t="s">
        <v>523</v>
      </c>
      <c r="E488" s="251"/>
      <c r="G488" s="644"/>
      <c r="H488" s="644"/>
      <c r="I488" s="644"/>
    </row>
    <row r="489" spans="1:9" ht="15" customHeight="1">
      <c r="A489" s="142"/>
      <c r="B489" s="142"/>
      <c r="C489" s="266">
        <v>1</v>
      </c>
      <c r="D489" s="323" t="s">
        <v>524</v>
      </c>
      <c r="E489" s="251"/>
      <c r="G489" s="644"/>
      <c r="H489" s="644"/>
      <c r="I489" s="644"/>
    </row>
    <row r="490" spans="1:9" ht="15.75" thickBot="1">
      <c r="A490" s="142"/>
      <c r="B490" s="142"/>
      <c r="C490" s="837" t="s">
        <v>90</v>
      </c>
      <c r="D490" s="838"/>
      <c r="E490" s="217">
        <f>IF(OR(E485&lt;1,E485&gt;4), "Salah Isi",E485)</f>
        <v>2.6</v>
      </c>
      <c r="G490" s="644"/>
      <c r="H490" s="644"/>
      <c r="I490" s="644"/>
    </row>
    <row r="491" spans="1:9" ht="15.75" thickBot="1">
      <c r="A491" s="142"/>
      <c r="B491" s="103"/>
      <c r="C491" s="136"/>
      <c r="D491" s="136"/>
      <c r="G491" s="81"/>
      <c r="H491" s="52"/>
      <c r="I491" s="50"/>
    </row>
    <row r="492" spans="1:9" ht="22.5" customHeight="1">
      <c r="A492" s="141">
        <v>57</v>
      </c>
      <c r="B492" s="141" t="s">
        <v>525</v>
      </c>
      <c r="C492" s="825" t="s">
        <v>526</v>
      </c>
      <c r="D492" s="826"/>
      <c r="E492" s="178">
        <v>2.7</v>
      </c>
      <c r="G492" s="790" t="s">
        <v>538</v>
      </c>
      <c r="H492" s="820"/>
      <c r="I492" s="821"/>
    </row>
    <row r="493" spans="1:9" ht="54.75" customHeight="1" thickBot="1">
      <c r="A493" s="141"/>
      <c r="B493" s="141"/>
      <c r="C493" s="113">
        <v>4</v>
      </c>
      <c r="D493" s="403" t="s">
        <v>530</v>
      </c>
      <c r="E493" s="267"/>
      <c r="F493" s="154"/>
      <c r="G493" s="802"/>
      <c r="H493" s="803"/>
      <c r="I493" s="804"/>
    </row>
    <row r="494" spans="1:9" ht="54" customHeight="1">
      <c r="A494" s="141"/>
      <c r="B494" s="141"/>
      <c r="C494" s="113">
        <v>3</v>
      </c>
      <c r="D494" s="403" t="s">
        <v>529</v>
      </c>
      <c r="E494" s="267"/>
      <c r="F494" s="154"/>
      <c r="G494"/>
    </row>
    <row r="495" spans="1:9" ht="51.75" customHeight="1">
      <c r="A495" s="141"/>
      <c r="B495" s="141"/>
      <c r="C495" s="113">
        <v>2</v>
      </c>
      <c r="D495" s="403" t="s">
        <v>527</v>
      </c>
      <c r="E495" s="267"/>
      <c r="F495" s="154"/>
      <c r="G495"/>
    </row>
    <row r="496" spans="1:9" ht="39.75" customHeight="1">
      <c r="A496" s="141"/>
      <c r="B496" s="141"/>
      <c r="C496" s="113">
        <v>1</v>
      </c>
      <c r="D496" s="403" t="s">
        <v>528</v>
      </c>
      <c r="E496" s="267"/>
      <c r="F496" s="154"/>
      <c r="G496"/>
    </row>
    <row r="497" spans="1:9" ht="15.75" thickBot="1">
      <c r="A497" s="141"/>
      <c r="B497" s="141"/>
      <c r="C497" s="858" t="s">
        <v>90</v>
      </c>
      <c r="D497" s="859"/>
      <c r="E497" s="217">
        <f>IF(OR(E492&lt;1,E492&gt;4), "Salah Isi",E492)</f>
        <v>2.7</v>
      </c>
      <c r="F497" s="56"/>
      <c r="G497" s="82"/>
    </row>
    <row r="498" spans="1:9" ht="15.75" thickBot="1">
      <c r="A498" s="141"/>
      <c r="B498" s="141"/>
      <c r="C498" s="89"/>
      <c r="D498" s="89"/>
      <c r="G498" s="82"/>
    </row>
    <row r="499" spans="1:9">
      <c r="A499" s="141">
        <v>58</v>
      </c>
      <c r="B499" s="141" t="s">
        <v>531</v>
      </c>
      <c r="C499" s="977" t="s">
        <v>532</v>
      </c>
      <c r="D499" s="978"/>
      <c r="E499" s="178">
        <v>3</v>
      </c>
      <c r="F499" s="143"/>
      <c r="G499" s="790" t="s">
        <v>539</v>
      </c>
      <c r="H499" s="820"/>
      <c r="I499" s="821"/>
    </row>
    <row r="500" spans="1:9" ht="39" thickBot="1">
      <c r="A500" s="141"/>
      <c r="B500" s="141"/>
      <c r="C500" s="428">
        <v>4</v>
      </c>
      <c r="D500" s="427" t="s">
        <v>534</v>
      </c>
      <c r="E500" s="251"/>
      <c r="F500" s="143"/>
      <c r="G500" s="802"/>
      <c r="H500" s="803"/>
      <c r="I500" s="804"/>
    </row>
    <row r="501" spans="1:9" ht="25.5">
      <c r="A501" s="141"/>
      <c r="B501" s="141"/>
      <c r="C501" s="428">
        <v>3</v>
      </c>
      <c r="D501" s="427" t="s">
        <v>535</v>
      </c>
      <c r="E501" s="251"/>
      <c r="F501" s="143"/>
      <c r="G501" s="644"/>
      <c r="H501" s="644"/>
      <c r="I501" s="644"/>
    </row>
    <row r="502" spans="1:9" ht="25.5">
      <c r="A502" s="141"/>
      <c r="B502" s="141"/>
      <c r="C502" s="428">
        <v>2</v>
      </c>
      <c r="D502" s="427" t="s">
        <v>536</v>
      </c>
      <c r="E502" s="251"/>
      <c r="F502" s="143"/>
      <c r="G502" s="644"/>
      <c r="H502" s="644"/>
      <c r="I502" s="644"/>
    </row>
    <row r="503" spans="1:9" ht="25.5">
      <c r="A503" s="426"/>
      <c r="B503" s="141"/>
      <c r="C503" s="428">
        <v>1</v>
      </c>
      <c r="D503" s="427" t="s">
        <v>533</v>
      </c>
      <c r="E503" s="251"/>
      <c r="F503" s="143"/>
      <c r="G503" s="644"/>
      <c r="H503" s="644"/>
      <c r="I503" s="644"/>
    </row>
    <row r="504" spans="1:9" ht="15.75" thickBot="1">
      <c r="A504" s="141"/>
      <c r="B504" s="141"/>
      <c r="C504" s="862" t="s">
        <v>90</v>
      </c>
      <c r="D504" s="863"/>
      <c r="E504" s="217">
        <f>IF(OR(E499&lt;1,E499&gt;4), "Salah Isi",E499)</f>
        <v>3</v>
      </c>
      <c r="F504" s="143"/>
      <c r="G504" s="644"/>
      <c r="H504" s="644"/>
      <c r="I504" s="644"/>
    </row>
    <row r="505" spans="1:9" ht="15.75" thickBot="1">
      <c r="A505" s="141"/>
      <c r="B505" s="141"/>
      <c r="C505" s="89"/>
      <c r="D505" s="89"/>
      <c r="E505" s="143"/>
      <c r="F505" s="143"/>
      <c r="G505" s="81"/>
      <c r="H505" s="52"/>
      <c r="I505" s="50"/>
    </row>
    <row r="506" spans="1:9" ht="28.5" customHeight="1">
      <c r="A506" s="141">
        <v>59</v>
      </c>
      <c r="B506" s="141" t="s">
        <v>22</v>
      </c>
      <c r="C506" s="839" t="s">
        <v>543</v>
      </c>
      <c r="D506" s="840"/>
      <c r="E506" s="178">
        <v>4</v>
      </c>
      <c r="F506" s="155"/>
      <c r="G506" s="790" t="s">
        <v>540</v>
      </c>
      <c r="H506" s="791"/>
      <c r="I506" s="792"/>
    </row>
    <row r="507" spans="1:9" ht="38.25" customHeight="1" thickBot="1">
      <c r="A507" s="141"/>
      <c r="B507" s="141"/>
      <c r="C507" s="429">
        <v>4</v>
      </c>
      <c r="D507" s="252" t="s">
        <v>544</v>
      </c>
      <c r="E507" s="251"/>
      <c r="F507" s="155"/>
      <c r="G507" s="793"/>
      <c r="H507" s="794"/>
      <c r="I507" s="795"/>
    </row>
    <row r="508" spans="1:9" ht="53.25" customHeight="1">
      <c r="A508" s="141"/>
      <c r="B508" s="141"/>
      <c r="C508" s="429">
        <v>3</v>
      </c>
      <c r="D508" s="252" t="s">
        <v>545</v>
      </c>
      <c r="E508" s="251"/>
      <c r="F508" s="155"/>
      <c r="G508" s="645"/>
      <c r="H508" s="643"/>
      <c r="I508" s="643"/>
    </row>
    <row r="509" spans="1:9" ht="40.5" customHeight="1">
      <c r="A509" s="141"/>
      <c r="B509" s="141"/>
      <c r="C509" s="429">
        <v>2</v>
      </c>
      <c r="D509" s="252" t="s">
        <v>546</v>
      </c>
      <c r="E509" s="251"/>
      <c r="F509" s="155"/>
      <c r="G509" s="645"/>
      <c r="H509" s="643"/>
      <c r="I509" s="643"/>
    </row>
    <row r="510" spans="1:9" ht="28.5" customHeight="1">
      <c r="A510" s="141"/>
      <c r="B510" s="141"/>
      <c r="C510" s="429">
        <v>1</v>
      </c>
      <c r="D510" s="252" t="s">
        <v>547</v>
      </c>
      <c r="E510" s="251"/>
      <c r="F510" s="155"/>
      <c r="G510" s="645"/>
      <c r="H510" s="643"/>
      <c r="I510" s="643"/>
    </row>
    <row r="511" spans="1:9" ht="15.75" thickBot="1">
      <c r="A511" s="141"/>
      <c r="B511" s="141"/>
      <c r="C511" s="862" t="s">
        <v>90</v>
      </c>
      <c r="D511" s="863"/>
      <c r="E511" s="217">
        <f>IF(OR(E506&lt;1,E506&gt;4), "Salah Isi",E506)</f>
        <v>4</v>
      </c>
      <c r="F511" s="143"/>
      <c r="G511" s="81"/>
      <c r="H511" s="52"/>
      <c r="I511" s="50"/>
    </row>
    <row r="512" spans="1:9" ht="15.75" thickBot="1">
      <c r="A512" s="141"/>
      <c r="B512" s="141"/>
      <c r="C512" s="89"/>
      <c r="D512" s="89"/>
      <c r="E512" s="143"/>
      <c r="F512" s="143"/>
      <c r="G512" s="81"/>
      <c r="H512" s="52"/>
      <c r="I512" s="50"/>
    </row>
    <row r="513" spans="1:9" ht="32.25" customHeight="1">
      <c r="A513" s="141">
        <v>60</v>
      </c>
      <c r="B513" s="141" t="s">
        <v>23</v>
      </c>
      <c r="C513" s="839" t="s">
        <v>548</v>
      </c>
      <c r="D513" s="840"/>
      <c r="E513" s="178">
        <v>3</v>
      </c>
      <c r="F513" s="143"/>
      <c r="G513" s="790" t="s">
        <v>541</v>
      </c>
      <c r="H513" s="791"/>
      <c r="I513" s="792"/>
    </row>
    <row r="514" spans="1:9" ht="53.25" customHeight="1" thickBot="1">
      <c r="A514" s="141"/>
      <c r="B514" s="141"/>
      <c r="C514" s="253">
        <v>4</v>
      </c>
      <c r="D514" s="252" t="s">
        <v>549</v>
      </c>
      <c r="E514" s="421"/>
      <c r="F514" s="143"/>
      <c r="G514" s="793"/>
      <c r="H514" s="794"/>
      <c r="I514" s="795"/>
    </row>
    <row r="515" spans="1:9" ht="53.25" customHeight="1">
      <c r="A515" s="141"/>
      <c r="B515" s="141"/>
      <c r="C515" s="253">
        <v>3</v>
      </c>
      <c r="D515" s="252" t="s">
        <v>550</v>
      </c>
      <c r="E515" s="421"/>
      <c r="F515" s="143"/>
      <c r="G515" s="645"/>
      <c r="H515" s="643"/>
      <c r="I515" s="643"/>
    </row>
    <row r="516" spans="1:9" ht="51.75" customHeight="1">
      <c r="A516" s="141"/>
      <c r="B516" s="141"/>
      <c r="C516" s="253">
        <v>2</v>
      </c>
      <c r="D516" s="252" t="s">
        <v>551</v>
      </c>
      <c r="E516" s="421"/>
      <c r="F516" s="143"/>
      <c r="G516" s="645"/>
      <c r="H516" s="643"/>
      <c r="I516" s="643"/>
    </row>
    <row r="517" spans="1:9" ht="28.5" customHeight="1">
      <c r="A517" s="141"/>
      <c r="B517" s="141"/>
      <c r="C517" s="253">
        <v>1</v>
      </c>
      <c r="D517" s="252" t="s">
        <v>552</v>
      </c>
      <c r="E517" s="421"/>
      <c r="F517" s="143"/>
      <c r="G517" s="645"/>
      <c r="H517" s="643"/>
      <c r="I517" s="643"/>
    </row>
    <row r="518" spans="1:9" ht="15.75" thickBot="1">
      <c r="A518" s="141"/>
      <c r="B518" s="141"/>
      <c r="C518" s="862" t="s">
        <v>90</v>
      </c>
      <c r="D518" s="863"/>
      <c r="E518" s="217">
        <f>IF(OR(E513&lt;1,E513&gt;4), "Salah Isi",E513)</f>
        <v>3</v>
      </c>
      <c r="F518" s="143"/>
      <c r="G518" s="81"/>
      <c r="H518" s="52"/>
      <c r="I518" s="50"/>
    </row>
    <row r="519" spans="1:9" ht="15.75" thickBot="1">
      <c r="A519" s="141"/>
      <c r="B519" s="141"/>
      <c r="C519" s="89"/>
      <c r="D519" s="89"/>
      <c r="E519" s="143"/>
      <c r="F519" s="143"/>
      <c r="G519" s="81"/>
      <c r="H519" s="52"/>
      <c r="I519" s="50"/>
    </row>
    <row r="520" spans="1:9" ht="53.25" customHeight="1" thickBot="1">
      <c r="A520" s="141">
        <v>61</v>
      </c>
      <c r="B520" s="141" t="s">
        <v>24</v>
      </c>
      <c r="C520" s="839" t="s">
        <v>553</v>
      </c>
      <c r="D520" s="840"/>
      <c r="E520" s="178">
        <v>3</v>
      </c>
      <c r="F520" s="143"/>
      <c r="G520" s="822" t="s">
        <v>542</v>
      </c>
      <c r="H520" s="823"/>
      <c r="I520" s="824"/>
    </row>
    <row r="521" spans="1:9" ht="39" customHeight="1">
      <c r="A521" s="141"/>
      <c r="B521" s="141"/>
      <c r="C521" s="253">
        <v>4</v>
      </c>
      <c r="D521" s="252" t="s">
        <v>554</v>
      </c>
      <c r="E521" s="280"/>
      <c r="F521" s="143"/>
      <c r="G521" s="645"/>
      <c r="H521" s="643"/>
      <c r="I521" s="643"/>
    </row>
    <row r="522" spans="1:9" ht="40.5" customHeight="1">
      <c r="A522" s="141"/>
      <c r="B522" s="141"/>
      <c r="C522" s="253">
        <v>3</v>
      </c>
      <c r="D522" s="252" t="s">
        <v>555</v>
      </c>
      <c r="E522" s="280"/>
      <c r="F522" s="143"/>
      <c r="G522" s="645"/>
      <c r="H522" s="643"/>
      <c r="I522" s="643"/>
    </row>
    <row r="523" spans="1:9" ht="39.75" customHeight="1">
      <c r="A523" s="141"/>
      <c r="B523" s="141"/>
      <c r="C523" s="253">
        <v>2</v>
      </c>
      <c r="D523" s="252" t="s">
        <v>556</v>
      </c>
      <c r="E523" s="280"/>
      <c r="F523" s="143"/>
      <c r="G523" s="645"/>
      <c r="H523" s="643"/>
      <c r="I523" s="643"/>
    </row>
    <row r="524" spans="1:9" ht="18" customHeight="1">
      <c r="A524" s="141"/>
      <c r="B524" s="141"/>
      <c r="C524" s="253">
        <v>1</v>
      </c>
      <c r="D524" s="252" t="s">
        <v>557</v>
      </c>
      <c r="E524" s="280"/>
      <c r="F524" s="143"/>
      <c r="G524" s="645"/>
      <c r="H524" s="643"/>
      <c r="I524" s="643"/>
    </row>
    <row r="525" spans="1:9" ht="15.75" thickBot="1">
      <c r="A525" s="141"/>
      <c r="B525" s="141"/>
      <c r="C525" s="862" t="s">
        <v>90</v>
      </c>
      <c r="D525" s="863"/>
      <c r="E525" s="217">
        <f>IF(OR(E520&lt;1,E520&gt;4), "Salah Isi",E520)</f>
        <v>3</v>
      </c>
      <c r="F525" s="143"/>
      <c r="G525" s="81"/>
      <c r="H525" s="52"/>
      <c r="I525" s="50"/>
    </row>
    <row r="526" spans="1:9" ht="15.75" thickBot="1">
      <c r="A526" s="141"/>
      <c r="B526" s="141"/>
      <c r="C526" s="89"/>
      <c r="D526" s="89"/>
      <c r="E526" s="143"/>
      <c r="F526" s="143"/>
      <c r="G526" s="81"/>
      <c r="H526" s="52"/>
      <c r="I526" s="50"/>
    </row>
    <row r="527" spans="1:9" ht="28.5" customHeight="1">
      <c r="A527" s="141">
        <v>62</v>
      </c>
      <c r="B527" s="141" t="s">
        <v>25</v>
      </c>
      <c r="C527" s="839" t="s">
        <v>558</v>
      </c>
      <c r="D527" s="840"/>
      <c r="E527" s="178">
        <v>4</v>
      </c>
      <c r="F527" s="143"/>
      <c r="G527" s="790" t="s">
        <v>537</v>
      </c>
      <c r="H527" s="791"/>
      <c r="I527" s="792"/>
    </row>
    <row r="528" spans="1:9" ht="40.5" customHeight="1" thickBot="1">
      <c r="A528" s="141"/>
      <c r="B528" s="141"/>
      <c r="C528" s="253">
        <v>4</v>
      </c>
      <c r="D528" s="252" t="s">
        <v>559</v>
      </c>
      <c r="E528" s="251"/>
      <c r="F528" s="143"/>
      <c r="G528" s="793"/>
      <c r="H528" s="794"/>
      <c r="I528" s="795"/>
    </row>
    <row r="529" spans="1:9" ht="39.75" customHeight="1">
      <c r="A529" s="141"/>
      <c r="B529" s="141"/>
      <c r="C529" s="253">
        <v>3</v>
      </c>
      <c r="D529" s="252" t="s">
        <v>560</v>
      </c>
      <c r="E529" s="251"/>
      <c r="F529" s="143"/>
      <c r="G529" s="645"/>
      <c r="H529" s="643"/>
      <c r="I529" s="643"/>
    </row>
    <row r="530" spans="1:9" ht="15.75" customHeight="1">
      <c r="A530" s="141"/>
      <c r="B530" s="141"/>
      <c r="C530" s="253">
        <v>2</v>
      </c>
      <c r="D530" s="295" t="s">
        <v>561</v>
      </c>
      <c r="E530" s="251"/>
      <c r="F530" s="143"/>
      <c r="G530" s="645"/>
      <c r="H530" s="643"/>
      <c r="I530" s="643"/>
    </row>
    <row r="531" spans="1:9" ht="28.5" customHeight="1">
      <c r="A531" s="141"/>
      <c r="B531" s="141"/>
      <c r="C531" s="253">
        <v>1</v>
      </c>
      <c r="D531" s="252" t="s">
        <v>562</v>
      </c>
      <c r="E531" s="251"/>
      <c r="F531" s="143"/>
      <c r="G531" s="645"/>
      <c r="H531" s="643"/>
      <c r="I531" s="643"/>
    </row>
    <row r="532" spans="1:9" ht="15.75" thickBot="1">
      <c r="A532" s="141"/>
      <c r="B532" s="141"/>
      <c r="C532" s="862" t="s">
        <v>90</v>
      </c>
      <c r="D532" s="863"/>
      <c r="E532" s="217">
        <f>IF(OR(E527&lt;1,E527&gt;4), "Salah Isi",E527)</f>
        <v>4</v>
      </c>
      <c r="F532" s="143"/>
      <c r="G532" s="81"/>
      <c r="H532" s="52"/>
      <c r="I532" s="50"/>
    </row>
    <row r="533" spans="1:9" ht="15.75" thickBot="1">
      <c r="A533" s="141"/>
      <c r="B533" s="141"/>
      <c r="C533" s="89"/>
      <c r="D533" s="89"/>
      <c r="E533" s="143"/>
      <c r="F533" s="143"/>
      <c r="G533" s="81"/>
      <c r="H533" s="52"/>
      <c r="I533" s="50"/>
    </row>
    <row r="534" spans="1:9" ht="30.75" customHeight="1">
      <c r="A534" s="141">
        <v>63</v>
      </c>
      <c r="B534" s="141" t="s">
        <v>50</v>
      </c>
      <c r="C534" s="912" t="s">
        <v>563</v>
      </c>
      <c r="D534" s="913"/>
      <c r="E534" s="178">
        <v>2</v>
      </c>
      <c r="F534" s="155"/>
      <c r="G534" s="790" t="s">
        <v>614</v>
      </c>
      <c r="H534" s="820"/>
      <c r="I534" s="821"/>
    </row>
    <row r="535" spans="1:9" ht="54" customHeight="1" thickBot="1">
      <c r="A535" s="141"/>
      <c r="B535" s="141"/>
      <c r="C535" s="253">
        <v>4</v>
      </c>
      <c r="D535" s="252" t="s">
        <v>564</v>
      </c>
      <c r="E535" s="280"/>
      <c r="F535" s="155"/>
      <c r="G535" s="802"/>
      <c r="H535" s="803"/>
      <c r="I535" s="804"/>
    </row>
    <row r="536" spans="1:9" ht="52.5" customHeight="1">
      <c r="A536" s="141"/>
      <c r="B536" s="141"/>
      <c r="C536" s="253">
        <v>3</v>
      </c>
      <c r="D536" s="252" t="s">
        <v>565</v>
      </c>
      <c r="E536" s="280"/>
      <c r="F536" s="155"/>
      <c r="G536" s="643"/>
      <c r="H536" s="643"/>
      <c r="I536" s="643"/>
    </row>
    <row r="537" spans="1:9" ht="54" customHeight="1">
      <c r="A537" s="141"/>
      <c r="B537" s="141"/>
      <c r="C537" s="253">
        <v>2</v>
      </c>
      <c r="D537" s="252" t="s">
        <v>566</v>
      </c>
      <c r="E537" s="280"/>
      <c r="F537" s="155"/>
      <c r="G537" s="643"/>
      <c r="H537" s="643"/>
      <c r="I537" s="643"/>
    </row>
    <row r="538" spans="1:9" ht="16.5" customHeight="1">
      <c r="A538" s="141"/>
      <c r="B538" s="141"/>
      <c r="C538" s="249">
        <v>1</v>
      </c>
      <c r="D538" s="250" t="s">
        <v>567</v>
      </c>
      <c r="E538" s="280"/>
      <c r="F538" s="155"/>
      <c r="G538" s="643"/>
      <c r="H538" s="643"/>
      <c r="I538" s="643"/>
    </row>
    <row r="539" spans="1:9" ht="15.75" thickBot="1">
      <c r="A539" s="141"/>
      <c r="B539" s="141"/>
      <c r="C539" s="862" t="s">
        <v>90</v>
      </c>
      <c r="D539" s="863"/>
      <c r="E539" s="217">
        <f>IF(OR(E534&lt;1,E534&gt;4), "Salah Isi",E534)</f>
        <v>2</v>
      </c>
      <c r="F539" s="143"/>
      <c r="G539" s="81"/>
      <c r="H539" s="52"/>
      <c r="I539" s="50"/>
    </row>
    <row r="540" spans="1:9" ht="15.75" thickBot="1">
      <c r="A540" s="141"/>
      <c r="B540" s="141"/>
      <c r="C540" s="89"/>
      <c r="D540" s="89"/>
      <c r="E540" s="143"/>
      <c r="F540" s="143"/>
      <c r="G540" s="81"/>
      <c r="H540" s="52"/>
      <c r="I540" s="50"/>
    </row>
    <row r="541" spans="1:9" ht="39.75" customHeight="1">
      <c r="A541" s="141">
        <v>64</v>
      </c>
      <c r="B541" s="141" t="s">
        <v>33</v>
      </c>
      <c r="C541" s="839" t="s">
        <v>569</v>
      </c>
      <c r="D541" s="840"/>
      <c r="E541" s="178">
        <v>3</v>
      </c>
      <c r="F541" s="143"/>
      <c r="G541" s="790" t="s">
        <v>600</v>
      </c>
      <c r="H541" s="820"/>
      <c r="I541" s="821"/>
    </row>
    <row r="542" spans="1:9" ht="16.5" customHeight="1" thickBot="1">
      <c r="A542" s="141"/>
      <c r="B542" s="141"/>
      <c r="C542" s="401">
        <v>4</v>
      </c>
      <c r="D542" s="252" t="s">
        <v>573</v>
      </c>
      <c r="E542" s="328"/>
      <c r="F542" s="154"/>
      <c r="G542" s="802"/>
      <c r="H542" s="803"/>
      <c r="I542" s="804"/>
    </row>
    <row r="543" spans="1:9" ht="16.5" customHeight="1">
      <c r="A543" s="141"/>
      <c r="B543" s="141"/>
      <c r="C543" s="401">
        <v>3</v>
      </c>
      <c r="D543" s="427" t="s">
        <v>570</v>
      </c>
      <c r="E543" s="328"/>
      <c r="F543" s="154"/>
      <c r="G543" s="82"/>
    </row>
    <row r="544" spans="1:9" ht="15.75" customHeight="1">
      <c r="A544" s="141"/>
      <c r="B544" s="141"/>
      <c r="C544" s="401">
        <v>2</v>
      </c>
      <c r="D544" s="427" t="s">
        <v>571</v>
      </c>
      <c r="E544" s="328"/>
      <c r="F544" s="154"/>
      <c r="G544" s="82"/>
    </row>
    <row r="545" spans="1:9" ht="16.5" customHeight="1">
      <c r="A545" s="141"/>
      <c r="B545" s="141"/>
      <c r="C545" s="401">
        <v>1</v>
      </c>
      <c r="D545" s="427" t="s">
        <v>572</v>
      </c>
      <c r="E545" s="328"/>
      <c r="F545" s="50"/>
      <c r="G545" s="82"/>
    </row>
    <row r="546" spans="1:9">
      <c r="A546" s="141"/>
      <c r="B546" s="141"/>
      <c r="C546" s="430">
        <v>0</v>
      </c>
      <c r="D546" s="431" t="s">
        <v>568</v>
      </c>
      <c r="E546" s="262"/>
      <c r="F546" s="50"/>
      <c r="G546" s="82"/>
    </row>
    <row r="547" spans="1:9" ht="15.75" thickBot="1">
      <c r="A547" s="141"/>
      <c r="B547" s="141"/>
      <c r="C547" s="862" t="s">
        <v>90</v>
      </c>
      <c r="D547" s="863"/>
      <c r="E547" s="217">
        <f>IF(OR(E541&lt;0,E541&gt;4), "Salah Isi",E541)</f>
        <v>3</v>
      </c>
      <c r="F547" s="56"/>
      <c r="G547" s="82"/>
    </row>
    <row r="548" spans="1:9" ht="15.75" thickBot="1">
      <c r="A548" s="141"/>
      <c r="B548" s="141"/>
      <c r="C548" s="89"/>
      <c r="D548" s="89"/>
      <c r="E548" s="143"/>
      <c r="F548" s="143"/>
      <c r="G548" s="82"/>
    </row>
    <row r="549" spans="1:9" ht="26.25" customHeight="1">
      <c r="A549" s="141">
        <v>65</v>
      </c>
      <c r="B549" s="141" t="s">
        <v>34</v>
      </c>
      <c r="C549" s="839" t="s">
        <v>594</v>
      </c>
      <c r="D549" s="840"/>
      <c r="E549" s="178">
        <v>2</v>
      </c>
      <c r="F549" s="143"/>
      <c r="G549" s="790" t="s">
        <v>599</v>
      </c>
      <c r="H549" s="820"/>
      <c r="I549" s="821"/>
    </row>
    <row r="550" spans="1:9" ht="52.5" thickBot="1">
      <c r="A550" s="141"/>
      <c r="B550" s="141"/>
      <c r="C550" s="401">
        <v>4</v>
      </c>
      <c r="D550" s="444" t="s">
        <v>595</v>
      </c>
      <c r="E550" s="262"/>
      <c r="F550" s="154"/>
      <c r="G550" s="802"/>
      <c r="H550" s="803"/>
      <c r="I550" s="804"/>
    </row>
    <row r="551" spans="1:9" ht="51">
      <c r="A551" s="141"/>
      <c r="B551" s="141"/>
      <c r="C551" s="401">
        <v>3</v>
      </c>
      <c r="D551" s="252" t="s">
        <v>596</v>
      </c>
      <c r="E551" s="267"/>
      <c r="F551" s="154"/>
      <c r="G551" s="644"/>
      <c r="H551" s="644"/>
      <c r="I551" s="644"/>
    </row>
    <row r="552" spans="1:9" ht="28.5" customHeight="1">
      <c r="A552" s="141"/>
      <c r="B552" s="141"/>
      <c r="C552" s="401">
        <v>2</v>
      </c>
      <c r="D552" s="252" t="s">
        <v>597</v>
      </c>
      <c r="E552" s="267"/>
      <c r="F552" s="154"/>
      <c r="G552" s="81"/>
      <c r="H552" s="52"/>
      <c r="I552" s="50"/>
    </row>
    <row r="553" spans="1:9" ht="26.25">
      <c r="A553" s="141"/>
      <c r="B553" s="141"/>
      <c r="C553" s="401">
        <v>1</v>
      </c>
      <c r="D553" s="444" t="s">
        <v>598</v>
      </c>
      <c r="E553" s="263"/>
      <c r="F553" s="50"/>
      <c r="G553" s="81"/>
      <c r="H553" s="52"/>
      <c r="I553" s="50"/>
    </row>
    <row r="554" spans="1:9" ht="15.75" thickBot="1">
      <c r="A554" s="141"/>
      <c r="B554" s="141"/>
      <c r="C554" s="862" t="s">
        <v>90</v>
      </c>
      <c r="D554" s="863"/>
      <c r="E554" s="217">
        <f>IF(OR(E549&lt;1,E549&gt;4), "Salah Isi",E549)</f>
        <v>2</v>
      </c>
      <c r="F554" s="56"/>
      <c r="G554" s="81"/>
      <c r="H554" s="52"/>
      <c r="I554" s="50"/>
    </row>
    <row r="555" spans="1:9" ht="15.75" thickBot="1">
      <c r="A555" s="141"/>
      <c r="B555" s="141"/>
      <c r="C555" s="89"/>
      <c r="D555" s="89"/>
      <c r="E555" s="143"/>
      <c r="F555" s="143"/>
      <c r="G555" s="81"/>
      <c r="H555" s="52"/>
      <c r="I555" s="50"/>
    </row>
    <row r="556" spans="1:9" ht="55.5" customHeight="1">
      <c r="A556" s="141">
        <v>66</v>
      </c>
      <c r="B556" s="141" t="s">
        <v>576</v>
      </c>
      <c r="C556" s="839" t="s">
        <v>601</v>
      </c>
      <c r="D556" s="840"/>
      <c r="E556" s="178">
        <v>3</v>
      </c>
      <c r="F556" s="143"/>
      <c r="G556" s="790" t="s">
        <v>614</v>
      </c>
      <c r="H556" s="820"/>
      <c r="I556" s="821"/>
    </row>
    <row r="557" spans="1:9" ht="15.75" thickBot="1">
      <c r="A557" s="141"/>
      <c r="B557" s="141"/>
      <c r="C557" s="401">
        <v>4</v>
      </c>
      <c r="D557" s="444" t="s">
        <v>603</v>
      </c>
      <c r="E557" s="262"/>
      <c r="F557" s="154"/>
      <c r="G557" s="802"/>
      <c r="H557" s="803"/>
      <c r="I557" s="804"/>
    </row>
    <row r="558" spans="1:9" ht="25.5">
      <c r="A558" s="141"/>
      <c r="B558" s="141"/>
      <c r="C558" s="401">
        <v>3</v>
      </c>
      <c r="D558" s="252" t="s">
        <v>604</v>
      </c>
      <c r="E558" s="267"/>
      <c r="F558" s="154"/>
      <c r="G558" s="82"/>
    </row>
    <row r="559" spans="1:9" ht="26.25">
      <c r="A559" s="141"/>
      <c r="B559" s="141"/>
      <c r="C559" s="401">
        <v>2</v>
      </c>
      <c r="D559" s="444" t="s">
        <v>605</v>
      </c>
      <c r="E559" s="267"/>
      <c r="F559" s="154"/>
      <c r="G559" s="82"/>
    </row>
    <row r="560" spans="1:9" ht="39">
      <c r="A560" s="141"/>
      <c r="B560" s="141"/>
      <c r="C560" s="401">
        <v>1</v>
      </c>
      <c r="D560" s="444" t="s">
        <v>602</v>
      </c>
      <c r="E560" s="263"/>
      <c r="F560" s="50"/>
      <c r="G560" s="82"/>
    </row>
    <row r="561" spans="1:9" ht="15.75" thickBot="1">
      <c r="A561" s="141"/>
      <c r="B561" s="141"/>
      <c r="C561" s="862" t="s">
        <v>90</v>
      </c>
      <c r="D561" s="863"/>
      <c r="E561" s="217">
        <f>IF(OR(E556&lt;1,E556&gt;4), "Salah Isi",E556)</f>
        <v>3</v>
      </c>
      <c r="F561" s="56"/>
      <c r="G561" s="82"/>
    </row>
    <row r="562" spans="1:9" ht="15.75" thickBot="1">
      <c r="A562" s="141"/>
      <c r="B562" s="141"/>
      <c r="C562" s="89"/>
      <c r="D562" s="89"/>
      <c r="E562" s="50"/>
      <c r="F562" s="50"/>
      <c r="G562" s="82"/>
    </row>
    <row r="563" spans="1:9" ht="44.25" customHeight="1">
      <c r="A563" s="141">
        <v>67</v>
      </c>
      <c r="B563" s="141" t="s">
        <v>577</v>
      </c>
      <c r="C563" s="839" t="s">
        <v>607</v>
      </c>
      <c r="D563" s="840"/>
      <c r="E563" s="144"/>
      <c r="F563" s="143"/>
      <c r="G563" s="805" t="str">
        <f>"Jumlah dana yg berasal dari mahasiswa = "&amp;E564&amp;" juta, Jumlah dana total = "&amp;E565&amp;" juta, sehingga persentase dana dr mhs = "&amp;ROUND(E566*100,2)&amp;"%"</f>
        <v>Jumlah dana yg berasal dari mahasiswa = 30 juta, Jumlah dana total = 100 juta, sehingga persentase dana dr mhs = 30%</v>
      </c>
      <c r="H563" s="806"/>
      <c r="I563" s="807"/>
    </row>
    <row r="564" spans="1:9">
      <c r="A564" s="141"/>
      <c r="B564" s="141"/>
      <c r="C564" s="980" t="s">
        <v>606</v>
      </c>
      <c r="D564" s="981"/>
      <c r="E564" s="179">
        <v>30</v>
      </c>
      <c r="F564" s="154" t="s">
        <v>11</v>
      </c>
      <c r="G564" s="799" t="s">
        <v>805</v>
      </c>
      <c r="H564" s="800"/>
      <c r="I564" s="801"/>
    </row>
    <row r="565" spans="1:9" ht="15.75" thickBot="1">
      <c r="A565" s="141"/>
      <c r="B565" s="141"/>
      <c r="C565" s="980" t="s">
        <v>609</v>
      </c>
      <c r="D565" s="981"/>
      <c r="E565" s="179">
        <v>100</v>
      </c>
      <c r="F565" s="154" t="s">
        <v>11</v>
      </c>
      <c r="G565" s="802"/>
      <c r="H565" s="803"/>
      <c r="I565" s="804"/>
    </row>
    <row r="566" spans="1:9" ht="15" customHeight="1">
      <c r="A566" s="141"/>
      <c r="B566" s="141"/>
      <c r="C566" s="983" t="s">
        <v>608</v>
      </c>
      <c r="D566" s="984"/>
      <c r="E566" s="445">
        <f>E564/E565</f>
        <v>0.3</v>
      </c>
      <c r="F566" s="154"/>
      <c r="G566" s="82"/>
    </row>
    <row r="567" spans="1:9" ht="15.75" thickBot="1">
      <c r="A567" s="141"/>
      <c r="B567" s="141"/>
      <c r="C567" s="862" t="s">
        <v>90</v>
      </c>
      <c r="D567" s="863"/>
      <c r="E567" s="217">
        <f>IF(E566&gt;100%,"Salah isi",IF(E566&lt;=0.33,4,(334-200*E566)/67))</f>
        <v>4</v>
      </c>
      <c r="F567" s="56"/>
      <c r="G567" s="82"/>
    </row>
    <row r="568" spans="1:9" ht="15.75" thickBot="1">
      <c r="A568" s="141"/>
      <c r="B568" s="141"/>
      <c r="C568" s="89"/>
      <c r="D568" s="89"/>
      <c r="E568" s="50"/>
      <c r="F568" s="50"/>
      <c r="G568" s="82"/>
    </row>
    <row r="569" spans="1:9" ht="42" customHeight="1">
      <c r="A569" s="142">
        <v>68</v>
      </c>
      <c r="B569" s="142" t="s">
        <v>578</v>
      </c>
      <c r="C569" s="860" t="s">
        <v>611</v>
      </c>
      <c r="D569" s="861"/>
      <c r="E569" s="330"/>
      <c r="G569" s="805" t="str">
        <f>"Jumlah dana operasional/mahasiswa/tahun (=DOM) = "&amp;E570&amp;" juta"</f>
        <v>Jumlah dana operasional/mahasiswa/tahun (=DOM) = 13 juta</v>
      </c>
      <c r="H569" s="806"/>
      <c r="I569" s="807"/>
    </row>
    <row r="570" spans="1:9" ht="18" customHeight="1">
      <c r="A570" s="142"/>
      <c r="B570" s="142"/>
      <c r="C570" s="924" t="s">
        <v>610</v>
      </c>
      <c r="D570" s="925"/>
      <c r="E570" s="446">
        <v>13</v>
      </c>
      <c r="F570" t="s">
        <v>11</v>
      </c>
      <c r="G570" s="799" t="s">
        <v>805</v>
      </c>
      <c r="H570" s="800"/>
      <c r="I570" s="801"/>
    </row>
    <row r="571" spans="1:9" ht="15.75" thickBot="1">
      <c r="A571" s="142"/>
      <c r="B571" s="142"/>
      <c r="C571" s="837" t="s">
        <v>90</v>
      </c>
      <c r="D571" s="838"/>
      <c r="E571" s="217">
        <f>IF(E570&gt;=18,4,E570/4.5)</f>
        <v>2.8888888888888888</v>
      </c>
      <c r="G571" s="802"/>
      <c r="H571" s="803"/>
      <c r="I571" s="804"/>
    </row>
    <row r="572" spans="1:9" ht="15.75" thickBot="1">
      <c r="A572" s="142"/>
      <c r="B572" s="142"/>
      <c r="C572" s="79"/>
      <c r="D572" s="79"/>
      <c r="G572" s="81"/>
      <c r="H572" s="52"/>
      <c r="I572" s="50"/>
    </row>
    <row r="573" spans="1:9" ht="18.75" customHeight="1">
      <c r="A573" s="142">
        <v>69</v>
      </c>
      <c r="B573" s="142" t="s">
        <v>579</v>
      </c>
      <c r="C573" s="860" t="s">
        <v>53</v>
      </c>
      <c r="D573" s="861"/>
      <c r="E573" s="330"/>
      <c r="G573" s="805" t="str">
        <f>"Rata-rata dana penelitian/dosen tetap/tahun ="&amp;E574&amp;" juta"</f>
        <v>Rata-rata dana penelitian/dosen tetap/tahun =3 juta</v>
      </c>
      <c r="H573" s="806"/>
      <c r="I573" s="807"/>
    </row>
    <row r="574" spans="1:9" ht="18.75" customHeight="1">
      <c r="A574" s="142"/>
      <c r="B574" s="142"/>
      <c r="C574" s="924" t="s">
        <v>612</v>
      </c>
      <c r="D574" s="925"/>
      <c r="E574" s="446">
        <v>3</v>
      </c>
      <c r="F574" t="s">
        <v>11</v>
      </c>
      <c r="G574" s="799" t="s">
        <v>805</v>
      </c>
      <c r="H574" s="800"/>
      <c r="I574" s="801"/>
    </row>
    <row r="575" spans="1:9" ht="15.75" thickBot="1">
      <c r="A575" s="142"/>
      <c r="B575" s="142"/>
      <c r="C575" s="837" t="s">
        <v>90</v>
      </c>
      <c r="D575" s="838"/>
      <c r="E575" s="217">
        <f>IF(E574&gt;=3,4,4*E574/3)</f>
        <v>4</v>
      </c>
      <c r="G575" s="802"/>
      <c r="H575" s="803"/>
      <c r="I575" s="804"/>
    </row>
    <row r="576" spans="1:9" ht="15.75" thickBot="1">
      <c r="A576" s="142"/>
      <c r="B576" s="142"/>
      <c r="C576" s="79"/>
      <c r="D576" s="79"/>
      <c r="G576" s="81"/>
      <c r="H576" s="52"/>
      <c r="I576" s="50"/>
    </row>
    <row r="577" spans="1:9" ht="28.5" customHeight="1">
      <c r="A577" s="142">
        <v>70</v>
      </c>
      <c r="B577" s="142" t="s">
        <v>580</v>
      </c>
      <c r="C577" s="860" t="s">
        <v>12</v>
      </c>
      <c r="D577" s="861"/>
      <c r="E577" s="330"/>
      <c r="G577" s="805" t="str">
        <f>"Rata-rata dana pelayanan/pengabdian kepada masyarakat /dosen tetap/tahun = "&amp;ROUND(E578,2)&amp;" juta"</f>
        <v>Rata-rata dana pelayanan/pengabdian kepada masyarakat /dosen tetap/tahun = 1.5 juta</v>
      </c>
      <c r="H577" s="806"/>
      <c r="I577" s="807"/>
    </row>
    <row r="578" spans="1:9" ht="28.5" customHeight="1">
      <c r="A578" s="142"/>
      <c r="B578" s="142"/>
      <c r="C578" s="924" t="s">
        <v>615</v>
      </c>
      <c r="D578" s="925"/>
      <c r="E578" s="446">
        <v>1.5</v>
      </c>
      <c r="F578" s="30" t="s">
        <v>11</v>
      </c>
      <c r="G578" s="799" t="s">
        <v>805</v>
      </c>
      <c r="H578" s="800"/>
      <c r="I578" s="801"/>
    </row>
    <row r="579" spans="1:9" ht="15.75" thickBot="1">
      <c r="A579" s="142"/>
      <c r="B579" s="142"/>
      <c r="C579" s="837" t="s">
        <v>90</v>
      </c>
      <c r="D579" s="838"/>
      <c r="E579" s="217">
        <f>IF(E578&gt;=1.5,4,8*E578/3)</f>
        <v>4</v>
      </c>
      <c r="G579" s="802"/>
      <c r="H579" s="803"/>
      <c r="I579" s="804"/>
    </row>
    <row r="580" spans="1:9" ht="15.75" thickBot="1">
      <c r="A580" s="142"/>
      <c r="B580" s="142"/>
      <c r="C580" s="79"/>
      <c r="D580" s="79"/>
      <c r="G580" s="81"/>
      <c r="H580" s="52"/>
      <c r="I580" s="50"/>
    </row>
    <row r="581" spans="1:9" ht="30.75" customHeight="1" thickBot="1">
      <c r="A581" s="142">
        <v>71</v>
      </c>
      <c r="B581" s="142" t="s">
        <v>581</v>
      </c>
      <c r="C581" s="860" t="s">
        <v>617</v>
      </c>
      <c r="D581" s="861"/>
      <c r="E581" s="178">
        <v>3</v>
      </c>
      <c r="G581" s="822" t="s">
        <v>616</v>
      </c>
      <c r="H581" s="823"/>
      <c r="I581" s="824"/>
    </row>
    <row r="582" spans="1:9" ht="41.25" customHeight="1">
      <c r="A582" s="142"/>
      <c r="B582" s="142"/>
      <c r="C582" s="266">
        <v>4</v>
      </c>
      <c r="D582" s="438" t="s">
        <v>618</v>
      </c>
      <c r="E582" s="251"/>
      <c r="G582" s="645"/>
      <c r="H582" s="643"/>
      <c r="I582" s="643"/>
    </row>
    <row r="583" spans="1:9" ht="41.25" customHeight="1">
      <c r="A583" s="142"/>
      <c r="B583" s="142"/>
      <c r="C583" s="266">
        <v>3</v>
      </c>
      <c r="D583" s="438" t="s">
        <v>619</v>
      </c>
      <c r="E583" s="251"/>
      <c r="G583" s="645"/>
      <c r="H583" s="643"/>
      <c r="I583" s="643"/>
    </row>
    <row r="584" spans="1:9" ht="42" customHeight="1">
      <c r="A584" s="142"/>
      <c r="B584" s="142"/>
      <c r="C584" s="266">
        <v>2</v>
      </c>
      <c r="D584" s="438" t="s">
        <v>619</v>
      </c>
      <c r="E584" s="251"/>
      <c r="G584" s="645"/>
      <c r="H584" s="643"/>
      <c r="I584" s="643"/>
    </row>
    <row r="585" spans="1:9" ht="18.75" customHeight="1">
      <c r="A585" s="142"/>
      <c r="B585" s="142"/>
      <c r="C585" s="266">
        <v>1</v>
      </c>
      <c r="D585" s="438" t="s">
        <v>620</v>
      </c>
      <c r="E585" s="251"/>
      <c r="G585" s="645"/>
      <c r="H585" s="643"/>
      <c r="I585" s="643"/>
    </row>
    <row r="586" spans="1:9" ht="15.75" thickBot="1">
      <c r="A586" s="142"/>
      <c r="B586" s="142"/>
      <c r="C586" s="837" t="s">
        <v>90</v>
      </c>
      <c r="D586" s="838"/>
      <c r="E586" s="217">
        <f>IF(OR(E581&lt;1,E581&gt;4), "Salah Isi",E581)</f>
        <v>3</v>
      </c>
      <c r="G586" s="81"/>
      <c r="H586" s="52"/>
      <c r="I586" s="50"/>
    </row>
    <row r="587" spans="1:9" ht="15.75" thickBot="1">
      <c r="A587" s="142"/>
      <c r="B587" s="142"/>
      <c r="C587" s="79"/>
      <c r="D587" s="79"/>
      <c r="G587" s="81"/>
      <c r="H587" s="52"/>
      <c r="I587" s="50"/>
    </row>
    <row r="588" spans="1:9" ht="29.25" customHeight="1" thickBot="1">
      <c r="A588" s="142">
        <v>72</v>
      </c>
      <c r="B588" s="142" t="s">
        <v>582</v>
      </c>
      <c r="C588" s="860" t="s">
        <v>622</v>
      </c>
      <c r="D588" s="979"/>
      <c r="E588" s="178">
        <v>3</v>
      </c>
      <c r="G588" s="889" t="s">
        <v>621</v>
      </c>
      <c r="H588" s="940"/>
      <c r="I588" s="941"/>
    </row>
    <row r="589" spans="1:9" ht="40.5" customHeight="1">
      <c r="A589" s="142"/>
      <c r="B589" s="142"/>
      <c r="C589" s="447">
        <v>4</v>
      </c>
      <c r="D589" s="438" t="s">
        <v>623</v>
      </c>
      <c r="E589" s="251"/>
      <c r="G589" s="643"/>
      <c r="H589" s="643"/>
      <c r="I589" s="643"/>
    </row>
    <row r="590" spans="1:9" ht="40.5" customHeight="1">
      <c r="A590" s="142"/>
      <c r="B590" s="142"/>
      <c r="C590" s="447">
        <v>3</v>
      </c>
      <c r="D590" s="438" t="s">
        <v>624</v>
      </c>
      <c r="E590" s="251"/>
      <c r="G590" s="643"/>
      <c r="H590" s="643"/>
      <c r="I590" s="643"/>
    </row>
    <row r="591" spans="1:9" ht="40.5" customHeight="1">
      <c r="A591" s="142"/>
      <c r="B591" s="142"/>
      <c r="C591" s="447">
        <v>2</v>
      </c>
      <c r="D591" s="438" t="s">
        <v>625</v>
      </c>
      <c r="E591" s="251"/>
      <c r="G591" s="643"/>
      <c r="H591" s="643"/>
      <c r="I591" s="643"/>
    </row>
    <row r="592" spans="1:9" ht="18.75" customHeight="1">
      <c r="A592" s="142"/>
      <c r="B592" s="142"/>
      <c r="C592" s="447">
        <v>1</v>
      </c>
      <c r="D592" s="438" t="s">
        <v>626</v>
      </c>
      <c r="E592" s="251"/>
      <c r="G592" s="643"/>
      <c r="H592" s="643"/>
      <c r="I592" s="643"/>
    </row>
    <row r="593" spans="1:9" ht="16.5" customHeight="1">
      <c r="A593" s="142"/>
      <c r="B593" s="142"/>
      <c r="C593" s="448">
        <v>0</v>
      </c>
      <c r="D593" s="309" t="s">
        <v>627</v>
      </c>
      <c r="E593" s="251"/>
      <c r="G593" s="643"/>
      <c r="H593" s="643"/>
      <c r="I593" s="643"/>
    </row>
    <row r="594" spans="1:9" ht="15.75" thickBot="1">
      <c r="A594" s="142"/>
      <c r="B594" s="142"/>
      <c r="C594" s="837" t="s">
        <v>90</v>
      </c>
      <c r="D594" s="838"/>
      <c r="E594" s="217">
        <f>IF(OR(E588&lt;0,E588&gt;4), "Salah Isi",E588)</f>
        <v>3</v>
      </c>
      <c r="G594" s="81"/>
      <c r="H594" s="52"/>
      <c r="I594" s="50"/>
    </row>
    <row r="595" spans="1:9" ht="15.75" thickBot="1">
      <c r="A595" s="142"/>
      <c r="B595" s="142"/>
      <c r="C595" s="136"/>
      <c r="D595" s="136"/>
      <c r="G595" s="81"/>
      <c r="H595" s="52"/>
      <c r="I595" s="50"/>
    </row>
    <row r="596" spans="1:9" ht="52.5" customHeight="1">
      <c r="A596" s="142">
        <v>73</v>
      </c>
      <c r="B596" s="142" t="s">
        <v>51</v>
      </c>
      <c r="C596" s="860" t="s">
        <v>809</v>
      </c>
      <c r="D596" s="861"/>
      <c r="E596" s="178">
        <v>3</v>
      </c>
      <c r="G596" s="790" t="s">
        <v>632</v>
      </c>
      <c r="H596" s="820"/>
      <c r="I596" s="821"/>
    </row>
    <row r="597" spans="1:9" ht="15.75" customHeight="1" thickBot="1">
      <c r="A597" s="142"/>
      <c r="B597" s="142"/>
      <c r="C597" s="145">
        <v>4</v>
      </c>
      <c r="D597" s="294" t="s">
        <v>628</v>
      </c>
      <c r="E597" s="453"/>
      <c r="G597" s="802"/>
      <c r="H597" s="803"/>
      <c r="I597" s="804"/>
    </row>
    <row r="598" spans="1:9" ht="17.25" customHeight="1">
      <c r="A598" s="142"/>
      <c r="B598" s="142"/>
      <c r="C598" s="145">
        <v>3</v>
      </c>
      <c r="D598" s="294" t="s">
        <v>629</v>
      </c>
      <c r="E598" s="279"/>
      <c r="G598" s="82"/>
    </row>
    <row r="599" spans="1:9" ht="15.75" customHeight="1">
      <c r="A599" s="142"/>
      <c r="B599" s="142"/>
      <c r="C599" s="145">
        <v>2</v>
      </c>
      <c r="D599" s="294" t="s">
        <v>630</v>
      </c>
      <c r="E599" s="279"/>
      <c r="G599" s="82"/>
    </row>
    <row r="600" spans="1:9" ht="27" customHeight="1">
      <c r="A600" s="142"/>
      <c r="B600" s="142"/>
      <c r="C600" s="145">
        <v>1</v>
      </c>
      <c r="D600" s="294" t="s">
        <v>631</v>
      </c>
      <c r="E600" s="651"/>
      <c r="G600" s="82"/>
    </row>
    <row r="601" spans="1:9" ht="15.75" thickBot="1">
      <c r="A601" s="142"/>
      <c r="B601" s="142"/>
      <c r="C601" s="837" t="s">
        <v>90</v>
      </c>
      <c r="D601" s="838"/>
      <c r="E601" s="217">
        <f>IF(OR(E596&lt;1,E596&gt;4), "Salah Isi",E596)</f>
        <v>3</v>
      </c>
      <c r="F601" s="143"/>
      <c r="G601" s="82"/>
    </row>
    <row r="602" spans="1:9" ht="15.75" thickBot="1">
      <c r="A602" s="142"/>
      <c r="B602" s="142"/>
      <c r="C602" s="136"/>
      <c r="D602" s="136"/>
      <c r="G602" s="82"/>
    </row>
    <row r="603" spans="1:9" ht="30" customHeight="1" thickBot="1">
      <c r="A603" s="142">
        <v>74</v>
      </c>
      <c r="B603" s="7" t="s">
        <v>52</v>
      </c>
      <c r="C603" s="825" t="s">
        <v>633</v>
      </c>
      <c r="D603" s="868"/>
      <c r="E603" s="178">
        <v>4</v>
      </c>
      <c r="G603" s="822" t="s">
        <v>663</v>
      </c>
      <c r="H603" s="823"/>
      <c r="I603" s="824"/>
    </row>
    <row r="604" spans="1:9" ht="28.5" customHeight="1">
      <c r="A604" s="142"/>
      <c r="B604" s="7"/>
      <c r="C604" s="271">
        <v>4</v>
      </c>
      <c r="D604" s="438" t="s">
        <v>634</v>
      </c>
      <c r="E604" s="280"/>
      <c r="G604" s="643"/>
      <c r="H604" s="643"/>
      <c r="I604" s="643"/>
    </row>
    <row r="605" spans="1:9" ht="51.75" customHeight="1">
      <c r="A605" s="142"/>
      <c r="B605" s="7"/>
      <c r="C605" s="271">
        <v>3</v>
      </c>
      <c r="D605" s="438" t="s">
        <v>635</v>
      </c>
      <c r="E605" s="280"/>
      <c r="G605" s="643"/>
      <c r="H605" s="643"/>
      <c r="I605" s="643"/>
    </row>
    <row r="606" spans="1:9" ht="54" customHeight="1">
      <c r="A606" s="103"/>
      <c r="B606" s="7"/>
      <c r="C606" s="271">
        <v>2</v>
      </c>
      <c r="D606" s="595" t="s">
        <v>949</v>
      </c>
      <c r="E606" s="280"/>
      <c r="G606" s="643"/>
      <c r="H606" s="643"/>
      <c r="I606" s="643"/>
    </row>
    <row r="607" spans="1:9" ht="53.25" customHeight="1">
      <c r="A607" s="142"/>
      <c r="B607" s="7"/>
      <c r="C607" s="271">
        <v>1</v>
      </c>
      <c r="D607" s="438" t="s">
        <v>636</v>
      </c>
      <c r="E607" s="280"/>
      <c r="G607" s="643"/>
      <c r="H607" s="643"/>
      <c r="I607" s="643"/>
    </row>
    <row r="608" spans="1:9" ht="19.5" customHeight="1">
      <c r="A608" s="142"/>
      <c r="B608" s="7"/>
      <c r="C608" s="271">
        <v>0</v>
      </c>
      <c r="D608" s="438" t="s">
        <v>637</v>
      </c>
      <c r="E608" s="280"/>
      <c r="G608" s="643"/>
      <c r="H608" s="643"/>
      <c r="I608" s="643"/>
    </row>
    <row r="609" spans="1:9" ht="15.75" thickBot="1">
      <c r="A609" s="142"/>
      <c r="B609" s="142"/>
      <c r="C609" s="837" t="s">
        <v>90</v>
      </c>
      <c r="D609" s="838"/>
      <c r="E609" s="217">
        <f>IF(OR(E603&lt;0,E603&gt;4), "Salah Isi",E603)</f>
        <v>4</v>
      </c>
      <c r="F609" s="143"/>
      <c r="G609" s="81"/>
      <c r="H609" s="52"/>
      <c r="I609" s="50"/>
    </row>
    <row r="610" spans="1:9" ht="15.75" thickBot="1">
      <c r="A610" s="142"/>
      <c r="B610" s="142"/>
      <c r="C610" s="136"/>
      <c r="D610" s="136"/>
      <c r="G610" s="81"/>
      <c r="H610" s="52"/>
      <c r="I610" s="50"/>
    </row>
    <row r="611" spans="1:9">
      <c r="A611" s="141">
        <v>75</v>
      </c>
      <c r="B611" s="141" t="s">
        <v>54</v>
      </c>
      <c r="C611" s="985" t="s">
        <v>638</v>
      </c>
      <c r="D611" s="986"/>
      <c r="E611" s="178">
        <v>3</v>
      </c>
      <c r="F611" s="50"/>
      <c r="G611" s="790" t="s">
        <v>810</v>
      </c>
      <c r="H611" s="820"/>
      <c r="I611" s="821"/>
    </row>
    <row r="612" spans="1:9" ht="28.5" customHeight="1">
      <c r="A612" s="142"/>
      <c r="B612" s="142"/>
      <c r="C612" s="290">
        <v>4</v>
      </c>
      <c r="D612" s="451" t="s">
        <v>639</v>
      </c>
      <c r="E612" s="453"/>
      <c r="F612" s="50"/>
      <c r="G612" s="968"/>
      <c r="H612" s="809"/>
      <c r="I612" s="810"/>
    </row>
    <row r="613" spans="1:9" ht="39.75" thickBot="1">
      <c r="A613" s="141"/>
      <c r="B613" s="141"/>
      <c r="C613" s="171">
        <v>3</v>
      </c>
      <c r="D613" s="454" t="s">
        <v>640</v>
      </c>
      <c r="E613" s="279"/>
      <c r="F613" s="50"/>
      <c r="G613" s="802"/>
      <c r="H613" s="803"/>
      <c r="I613" s="804"/>
    </row>
    <row r="614" spans="1:9">
      <c r="A614" s="141"/>
      <c r="B614" s="141"/>
      <c r="C614" s="401">
        <v>2</v>
      </c>
      <c r="D614" s="402" t="s">
        <v>641</v>
      </c>
      <c r="E614" s="267"/>
      <c r="F614" s="50"/>
      <c r="G614" s="82"/>
    </row>
    <row r="615" spans="1:9">
      <c r="A615" s="141"/>
      <c r="B615" s="141"/>
      <c r="C615" s="449">
        <v>1</v>
      </c>
      <c r="D615" s="450" t="s">
        <v>642</v>
      </c>
      <c r="E615" s="251"/>
      <c r="F615" s="50"/>
      <c r="G615" s="82"/>
    </row>
    <row r="616" spans="1:9" ht="15.75" thickBot="1">
      <c r="A616" s="141"/>
      <c r="B616" s="426"/>
      <c r="C616" s="858" t="s">
        <v>90</v>
      </c>
      <c r="D616" s="859"/>
      <c r="E616" s="217">
        <f>IF(OR(E611&lt;1,E611&gt;4), "Salah Isi",E611)</f>
        <v>3</v>
      </c>
      <c r="F616" s="56"/>
      <c r="G616" s="82"/>
    </row>
    <row r="617" spans="1:9" ht="15.75" thickBot="1">
      <c r="A617" s="141"/>
      <c r="B617" s="141"/>
      <c r="C617" s="91"/>
      <c r="D617" s="91"/>
      <c r="E617" s="50"/>
      <c r="F617" s="50"/>
      <c r="G617" s="82"/>
    </row>
    <row r="618" spans="1:9" ht="26.25" customHeight="1">
      <c r="A618" s="141">
        <v>76</v>
      </c>
      <c r="B618" s="78" t="s">
        <v>26</v>
      </c>
      <c r="C618" s="825" t="s">
        <v>643</v>
      </c>
      <c r="D618" s="982"/>
      <c r="E618" s="178">
        <v>4</v>
      </c>
      <c r="F618" s="50"/>
      <c r="G618" s="790" t="s">
        <v>665</v>
      </c>
      <c r="H618" s="820"/>
      <c r="I618" s="821"/>
    </row>
    <row r="619" spans="1:9" ht="27" thickBot="1">
      <c r="A619" s="142"/>
      <c r="B619" s="142"/>
      <c r="C619" s="290">
        <v>4</v>
      </c>
      <c r="D619" s="332" t="s">
        <v>644</v>
      </c>
      <c r="E619" s="453"/>
      <c r="F619" s="50"/>
      <c r="G619" s="802"/>
      <c r="H619" s="803"/>
      <c r="I619" s="804"/>
    </row>
    <row r="620" spans="1:9" ht="26.25">
      <c r="A620" s="141"/>
      <c r="B620" s="141"/>
      <c r="C620" s="290">
        <v>3</v>
      </c>
      <c r="D620" s="332" t="s">
        <v>645</v>
      </c>
      <c r="E620" s="279"/>
      <c r="F620" s="50"/>
      <c r="G620" s="82"/>
    </row>
    <row r="621" spans="1:9" ht="26.25">
      <c r="A621" s="141"/>
      <c r="B621" s="141"/>
      <c r="C621" s="456">
        <v>2</v>
      </c>
      <c r="D621" s="332" t="s">
        <v>646</v>
      </c>
      <c r="E621" s="267"/>
      <c r="F621" s="50"/>
      <c r="G621" s="82"/>
    </row>
    <row r="622" spans="1:9" ht="26.25">
      <c r="A622" s="141"/>
      <c r="B622" s="141"/>
      <c r="C622" s="449">
        <v>1</v>
      </c>
      <c r="D622" s="332" t="s">
        <v>647</v>
      </c>
      <c r="E622" s="267"/>
      <c r="F622" s="50"/>
      <c r="G622" s="82"/>
    </row>
    <row r="623" spans="1:9">
      <c r="A623" s="141"/>
      <c r="B623" s="141"/>
      <c r="C623" s="449">
        <v>0</v>
      </c>
      <c r="D623" s="455" t="s">
        <v>648</v>
      </c>
      <c r="E623" s="251"/>
      <c r="F623" s="50"/>
      <c r="G623" s="82"/>
    </row>
    <row r="624" spans="1:9" ht="15.75" thickBot="1">
      <c r="A624" s="141"/>
      <c r="B624" s="141"/>
      <c r="C624" s="858" t="s">
        <v>90</v>
      </c>
      <c r="D624" s="859"/>
      <c r="E624" s="217">
        <f>IF(OR(E618&lt;0,E618&gt;4), "Salah Isi",E618)</f>
        <v>4</v>
      </c>
      <c r="F624" s="56"/>
      <c r="G624" s="82"/>
    </row>
    <row r="625" spans="1:9" ht="15.75" thickBot="1">
      <c r="A625" s="141"/>
      <c r="B625" s="141"/>
      <c r="C625" s="91"/>
      <c r="D625" s="91"/>
      <c r="E625" s="50"/>
      <c r="F625" s="50"/>
      <c r="G625" s="82"/>
    </row>
    <row r="626" spans="1:9" ht="54" customHeight="1" thickBot="1">
      <c r="A626" s="141">
        <v>77</v>
      </c>
      <c r="B626" s="141" t="s">
        <v>583</v>
      </c>
      <c r="C626" s="827" t="s">
        <v>811</v>
      </c>
      <c r="D626" s="855"/>
      <c r="E626" s="84"/>
      <c r="F626" s="50"/>
      <c r="G626" s="822" t="s">
        <v>664</v>
      </c>
      <c r="H626" s="866"/>
      <c r="I626" s="867"/>
    </row>
    <row r="627" spans="1:9">
      <c r="A627" s="142"/>
      <c r="B627" s="142"/>
      <c r="C627" s="354" t="s">
        <v>92</v>
      </c>
      <c r="D627" s="226" t="s">
        <v>649</v>
      </c>
      <c r="E627" s="85">
        <v>4</v>
      </c>
      <c r="F627" s="50"/>
      <c r="G627" s="644"/>
      <c r="H627" s="644"/>
      <c r="I627" s="644"/>
    </row>
    <row r="628" spans="1:9">
      <c r="A628" s="141"/>
      <c r="B628" s="141"/>
      <c r="C628" s="354" t="s">
        <v>93</v>
      </c>
      <c r="D628" s="226" t="s">
        <v>650</v>
      </c>
      <c r="E628" s="85">
        <v>4</v>
      </c>
      <c r="F628" s="50"/>
      <c r="G628" s="644"/>
      <c r="H628" s="644"/>
      <c r="I628" s="644"/>
    </row>
    <row r="629" spans="1:9">
      <c r="A629" s="141"/>
      <c r="B629" s="141"/>
      <c r="C629" s="354" t="s">
        <v>653</v>
      </c>
      <c r="D629" s="226" t="s">
        <v>651</v>
      </c>
      <c r="E629" s="85">
        <v>3.25</v>
      </c>
      <c r="F629" s="50"/>
      <c r="G629" s="81"/>
      <c r="H629" s="52"/>
      <c r="I629" s="50"/>
    </row>
    <row r="630" spans="1:9">
      <c r="A630" s="141"/>
      <c r="B630" s="141"/>
      <c r="C630" s="354" t="s">
        <v>654</v>
      </c>
      <c r="D630" s="226" t="s">
        <v>652</v>
      </c>
      <c r="E630" s="85">
        <v>4</v>
      </c>
      <c r="F630" s="50"/>
      <c r="G630" s="81"/>
      <c r="H630" s="52"/>
      <c r="I630" s="50"/>
    </row>
    <row r="631" spans="1:9">
      <c r="A631" s="141"/>
      <c r="B631" s="141"/>
      <c r="C631" s="991" t="s">
        <v>655</v>
      </c>
      <c r="D631" s="992"/>
      <c r="E631" s="452"/>
      <c r="F631" s="50"/>
      <c r="G631" s="81"/>
      <c r="H631" s="52"/>
      <c r="I631" s="50"/>
    </row>
    <row r="632" spans="1:9">
      <c r="A632" s="141"/>
      <c r="B632" s="141"/>
      <c r="C632" s="989" t="s">
        <v>656</v>
      </c>
      <c r="D632" s="990"/>
      <c r="E632" s="216">
        <f>(4*E627+3*E628+2*E629+E630)/10</f>
        <v>3.85</v>
      </c>
      <c r="F632" s="50"/>
      <c r="G632" s="81"/>
      <c r="H632" s="650"/>
      <c r="I632" s="50"/>
    </row>
    <row r="633" spans="1:9" ht="15.75" thickBot="1">
      <c r="A633" s="141"/>
      <c r="B633" s="141"/>
      <c r="C633" s="835" t="s">
        <v>90</v>
      </c>
      <c r="D633" s="836"/>
      <c r="E633" s="217">
        <f>E632</f>
        <v>3.85</v>
      </c>
      <c r="F633" s="50"/>
      <c r="G633" s="81"/>
      <c r="H633" s="52"/>
      <c r="I633" s="50"/>
    </row>
    <row r="634" spans="1:9" ht="15.75" thickBot="1">
      <c r="A634" s="141"/>
      <c r="B634" s="141"/>
      <c r="C634" s="137"/>
      <c r="D634" s="137"/>
      <c r="E634" s="50"/>
      <c r="F634" s="50"/>
      <c r="G634" s="81"/>
      <c r="H634" s="52"/>
      <c r="I634" s="50"/>
    </row>
    <row r="635" spans="1:9" ht="54" customHeight="1" thickBot="1">
      <c r="A635" s="141">
        <v>78</v>
      </c>
      <c r="B635" s="141" t="s">
        <v>584</v>
      </c>
      <c r="C635" s="831" t="s">
        <v>657</v>
      </c>
      <c r="D635" s="832"/>
      <c r="E635" s="178">
        <v>4</v>
      </c>
      <c r="F635" s="50"/>
      <c r="G635" s="822" t="s">
        <v>663</v>
      </c>
      <c r="H635" s="823"/>
      <c r="I635" s="824"/>
    </row>
    <row r="636" spans="1:9" ht="27" customHeight="1">
      <c r="A636" s="141"/>
      <c r="B636" s="141"/>
      <c r="C636" s="277">
        <v>4</v>
      </c>
      <c r="D636" s="285" t="s">
        <v>658</v>
      </c>
      <c r="E636" s="251"/>
      <c r="F636" s="50"/>
      <c r="G636" s="643"/>
      <c r="H636" s="643"/>
      <c r="I636" s="643"/>
    </row>
    <row r="637" spans="1:9" ht="28.5" customHeight="1">
      <c r="A637" s="141"/>
      <c r="B637" s="141"/>
      <c r="C637" s="277">
        <v>3</v>
      </c>
      <c r="D637" s="285" t="s">
        <v>659</v>
      </c>
      <c r="E637" s="251"/>
      <c r="F637" s="50"/>
      <c r="G637" s="643"/>
      <c r="H637" s="643"/>
      <c r="I637" s="643"/>
    </row>
    <row r="638" spans="1:9" ht="27" customHeight="1">
      <c r="A638" s="141"/>
      <c r="B638" s="141"/>
      <c r="C638" s="277">
        <v>2</v>
      </c>
      <c r="D638" s="285" t="s">
        <v>660</v>
      </c>
      <c r="E638" s="251"/>
      <c r="F638" s="50"/>
      <c r="G638" s="643"/>
      <c r="H638" s="643"/>
      <c r="I638" s="643"/>
    </row>
    <row r="639" spans="1:9" ht="18" customHeight="1">
      <c r="A639" s="141"/>
      <c r="B639" s="141"/>
      <c r="C639" s="277">
        <v>1</v>
      </c>
      <c r="D639" s="285" t="s">
        <v>661</v>
      </c>
      <c r="E639" s="251"/>
      <c r="F639" s="50"/>
      <c r="G639" s="643"/>
      <c r="H639" s="643"/>
      <c r="I639" s="643"/>
    </row>
    <row r="640" spans="1:9" ht="18" customHeight="1">
      <c r="A640" s="141"/>
      <c r="B640" s="141"/>
      <c r="C640" s="277">
        <v>0</v>
      </c>
      <c r="D640" s="285" t="s">
        <v>662</v>
      </c>
      <c r="E640" s="251"/>
      <c r="F640" s="50"/>
      <c r="G640" s="643"/>
      <c r="H640" s="643"/>
      <c r="I640" s="643"/>
    </row>
    <row r="641" spans="1:9" ht="15.75" thickBot="1">
      <c r="A641" s="141"/>
      <c r="B641" s="141"/>
      <c r="C641" s="837" t="s">
        <v>90</v>
      </c>
      <c r="D641" s="838"/>
      <c r="E641" s="217">
        <f>IF(OR(E635&lt;0,E635&gt;4), "Salah Isi",E635)</f>
        <v>4</v>
      </c>
      <c r="F641" s="50"/>
      <c r="G641" s="81"/>
      <c r="H641" s="52"/>
      <c r="I641" s="50"/>
    </row>
    <row r="642" spans="1:9" ht="15.75" thickBot="1">
      <c r="A642" s="141"/>
      <c r="B642" s="141"/>
      <c r="C642" s="137"/>
      <c r="D642" s="137"/>
      <c r="E642" s="50"/>
      <c r="F642" s="50"/>
      <c r="G642" s="81"/>
      <c r="H642" s="52"/>
      <c r="I642" s="50"/>
    </row>
    <row r="643" spans="1:9" ht="42.75" customHeight="1" thickBot="1">
      <c r="A643" s="142">
        <v>79</v>
      </c>
      <c r="B643" s="142" t="s">
        <v>585</v>
      </c>
      <c r="C643" s="860" t="s">
        <v>666</v>
      </c>
      <c r="D643" s="861"/>
      <c r="E643" s="178">
        <v>3</v>
      </c>
      <c r="G643" s="822" t="s">
        <v>168</v>
      </c>
      <c r="H643" s="823"/>
      <c r="I643" s="824"/>
    </row>
    <row r="644" spans="1:9" ht="39" customHeight="1">
      <c r="A644" s="142"/>
      <c r="B644" s="142"/>
      <c r="C644" s="457">
        <v>4</v>
      </c>
      <c r="D644" s="438" t="s">
        <v>667</v>
      </c>
      <c r="E644" s="279"/>
      <c r="G644" s="643"/>
      <c r="H644" s="643"/>
      <c r="I644" s="643"/>
    </row>
    <row r="645" spans="1:9" ht="40.5" customHeight="1">
      <c r="A645" s="142"/>
      <c r="B645" s="142"/>
      <c r="C645" s="457">
        <v>3</v>
      </c>
      <c r="D645" s="438" t="s">
        <v>669</v>
      </c>
      <c r="E645" s="279"/>
      <c r="G645" s="643"/>
      <c r="H645" s="643"/>
      <c r="I645" s="643"/>
    </row>
    <row r="646" spans="1:9" ht="38.25">
      <c r="A646" s="142"/>
      <c r="B646" s="142"/>
      <c r="C646" s="153">
        <v>2</v>
      </c>
      <c r="D646" s="438" t="s">
        <v>668</v>
      </c>
      <c r="E646" s="267"/>
      <c r="G646" s="81"/>
      <c r="H646" s="52"/>
      <c r="I646" s="50"/>
    </row>
    <row r="647" spans="1:9">
      <c r="A647" s="142"/>
      <c r="B647" s="142"/>
      <c r="C647" s="415">
        <v>1</v>
      </c>
      <c r="D647" s="458" t="s">
        <v>670</v>
      </c>
      <c r="E647" s="251"/>
      <c r="G647" s="81"/>
      <c r="H647" s="52"/>
      <c r="I647" s="50"/>
    </row>
    <row r="648" spans="1:9" ht="15.75" thickBot="1">
      <c r="A648" s="142"/>
      <c r="B648" s="142"/>
      <c r="C648" s="837" t="s">
        <v>90</v>
      </c>
      <c r="D648" s="838"/>
      <c r="E648" s="217">
        <f>IF(OR(E643&lt;1,E643&gt;4), "Salah Isi",E643)</f>
        <v>3</v>
      </c>
      <c r="G648" s="81"/>
      <c r="H648" s="52"/>
      <c r="I648" s="50"/>
    </row>
    <row r="649" spans="1:9" ht="15.75" thickBot="1">
      <c r="A649" s="142"/>
      <c r="B649" s="142"/>
      <c r="C649" s="79"/>
      <c r="D649" s="79"/>
      <c r="G649" s="81"/>
      <c r="H649" s="52"/>
      <c r="I649" s="50"/>
    </row>
    <row r="650" spans="1:9" ht="66" customHeight="1" thickBot="1">
      <c r="A650" s="142">
        <v>80</v>
      </c>
      <c r="B650" s="142" t="s">
        <v>55</v>
      </c>
      <c r="C650" s="860" t="s">
        <v>672</v>
      </c>
      <c r="D650" s="861"/>
      <c r="E650" s="178">
        <v>3</v>
      </c>
      <c r="G650" s="822" t="s">
        <v>676</v>
      </c>
      <c r="H650" s="823"/>
      <c r="I650" s="824"/>
    </row>
    <row r="651" spans="1:9" ht="18.75" customHeight="1">
      <c r="A651" s="142"/>
      <c r="B651" s="142"/>
      <c r="C651" s="266">
        <v>4</v>
      </c>
      <c r="D651" s="438" t="s">
        <v>673</v>
      </c>
      <c r="E651" s="328"/>
      <c r="G651" s="644"/>
      <c r="H651" s="644"/>
      <c r="I651" s="644"/>
    </row>
    <row r="652" spans="1:9" ht="18" customHeight="1">
      <c r="A652" s="142"/>
      <c r="B652" s="142"/>
      <c r="C652" s="266">
        <v>3</v>
      </c>
      <c r="D652" s="438" t="s">
        <v>674</v>
      </c>
      <c r="E652" s="328"/>
      <c r="G652" s="644"/>
      <c r="H652" s="644"/>
      <c r="I652" s="644"/>
    </row>
    <row r="653" spans="1:9" ht="18.75" customHeight="1">
      <c r="A653" s="142"/>
      <c r="B653" s="142"/>
      <c r="C653" s="266">
        <v>2</v>
      </c>
      <c r="D653" s="438" t="s">
        <v>675</v>
      </c>
      <c r="E653" s="328"/>
      <c r="G653" s="643"/>
      <c r="H653" s="644"/>
      <c r="I653" s="644"/>
    </row>
    <row r="654" spans="1:9" ht="30" customHeight="1">
      <c r="A654" s="142"/>
      <c r="B654" s="142"/>
      <c r="C654" s="266">
        <v>1</v>
      </c>
      <c r="D654" s="438" t="s">
        <v>671</v>
      </c>
      <c r="E654" s="328"/>
      <c r="G654" s="644"/>
      <c r="H654" s="644"/>
      <c r="I654" s="644"/>
    </row>
    <row r="655" spans="1:9" ht="15.75" thickBot="1">
      <c r="A655" s="142"/>
      <c r="B655" s="142"/>
      <c r="C655" s="837" t="s">
        <v>90</v>
      </c>
      <c r="D655" s="838"/>
      <c r="E655" s="217">
        <f>IF(OR(E650&lt;1,E650&gt;4), "Salah Isi",E650)</f>
        <v>3</v>
      </c>
      <c r="G655" s="644"/>
      <c r="H655" s="644"/>
      <c r="I655" s="644"/>
    </row>
    <row r="656" spans="1:9" ht="15.75" thickBot="1">
      <c r="A656" s="142"/>
      <c r="B656" s="142"/>
      <c r="C656" s="79"/>
      <c r="D656" s="79"/>
      <c r="G656" s="81"/>
      <c r="H656" s="52"/>
      <c r="I656" s="50"/>
    </row>
    <row r="657" spans="1:9" ht="28.5" customHeight="1">
      <c r="A657" s="141">
        <v>81</v>
      </c>
      <c r="B657" s="141" t="s">
        <v>56</v>
      </c>
      <c r="C657" s="912" t="s">
        <v>677</v>
      </c>
      <c r="D657" s="993"/>
      <c r="E657" s="178">
        <v>2</v>
      </c>
      <c r="F657" s="50"/>
      <c r="G657" s="790" t="s">
        <v>682</v>
      </c>
      <c r="H657" s="820"/>
      <c r="I657" s="821"/>
    </row>
    <row r="658" spans="1:9" ht="53.25" customHeight="1" thickBot="1">
      <c r="A658" s="141"/>
      <c r="B658" s="141"/>
      <c r="C658" s="253">
        <v>4</v>
      </c>
      <c r="D658" s="252" t="s">
        <v>679</v>
      </c>
      <c r="E658" s="279"/>
      <c r="F658" s="50"/>
      <c r="G658" s="802"/>
      <c r="H658" s="803"/>
      <c r="I658" s="804"/>
    </row>
    <row r="659" spans="1:9" ht="52.5" customHeight="1">
      <c r="A659" s="141"/>
      <c r="B659" s="141"/>
      <c r="C659" s="253">
        <v>3</v>
      </c>
      <c r="D659" s="252" t="s">
        <v>680</v>
      </c>
      <c r="E659" s="279"/>
      <c r="F659" s="50"/>
      <c r="G659" s="644"/>
      <c r="H659" s="644"/>
      <c r="I659" s="644"/>
    </row>
    <row r="660" spans="1:9" ht="54" customHeight="1">
      <c r="A660" s="141"/>
      <c r="B660" s="141"/>
      <c r="C660" s="401">
        <v>2</v>
      </c>
      <c r="D660" s="252" t="s">
        <v>681</v>
      </c>
      <c r="E660" s="267"/>
      <c r="F660" s="50"/>
      <c r="G660" s="644"/>
      <c r="H660" s="644"/>
      <c r="I660" s="644"/>
    </row>
    <row r="661" spans="1:9">
      <c r="A661" s="141"/>
      <c r="B661" s="141"/>
      <c r="C661" s="401">
        <v>1</v>
      </c>
      <c r="D661" s="367" t="s">
        <v>678</v>
      </c>
      <c r="E661" s="267"/>
      <c r="F661" s="50"/>
      <c r="G661" s="643"/>
      <c r="H661" s="643"/>
      <c r="I661" s="643"/>
    </row>
    <row r="662" spans="1:9" ht="15.75" thickBot="1">
      <c r="A662" s="141"/>
      <c r="B662" s="141"/>
      <c r="C662" s="858" t="s">
        <v>90</v>
      </c>
      <c r="D662" s="859"/>
      <c r="E662" s="217">
        <f>IF(OR(E657&lt;1,E657&gt;4), "Salah Isi",E657)</f>
        <v>2</v>
      </c>
      <c r="F662" s="56"/>
      <c r="G662" s="81"/>
      <c r="H662" s="52"/>
      <c r="I662" s="50"/>
    </row>
    <row r="663" spans="1:9" ht="15.75" thickBot="1">
      <c r="A663" s="141"/>
      <c r="B663" s="141"/>
      <c r="C663" s="91"/>
      <c r="D663" s="91"/>
      <c r="E663" s="78"/>
      <c r="F663" s="50"/>
      <c r="G663" s="81"/>
      <c r="H663" s="52"/>
      <c r="I663" s="50"/>
    </row>
    <row r="664" spans="1:9" ht="28.5" customHeight="1" thickBot="1">
      <c r="A664" s="142">
        <v>82</v>
      </c>
      <c r="B664" s="142" t="s">
        <v>57</v>
      </c>
      <c r="C664" s="827" t="s">
        <v>683</v>
      </c>
      <c r="D664" s="828"/>
      <c r="E664" s="178">
        <v>3</v>
      </c>
      <c r="G664" s="822" t="s">
        <v>613</v>
      </c>
      <c r="H664" s="823"/>
      <c r="I664" s="824"/>
    </row>
    <row r="665" spans="1:9" ht="28.5" customHeight="1">
      <c r="A665" s="142"/>
      <c r="B665" s="142"/>
      <c r="C665" s="266">
        <v>4</v>
      </c>
      <c r="D665" s="438" t="s">
        <v>684</v>
      </c>
      <c r="E665" s="251"/>
      <c r="G665" s="644"/>
      <c r="H665" s="644"/>
      <c r="I665" s="644"/>
    </row>
    <row r="666" spans="1:9" ht="28.5" customHeight="1">
      <c r="A666" s="142"/>
      <c r="B666" s="142"/>
      <c r="C666" s="266">
        <v>3</v>
      </c>
      <c r="D666" s="438" t="s">
        <v>685</v>
      </c>
      <c r="E666" s="251"/>
      <c r="G666" s="644"/>
      <c r="H666" s="644"/>
      <c r="I666" s="644"/>
    </row>
    <row r="667" spans="1:9" ht="28.5" customHeight="1">
      <c r="A667" s="142"/>
      <c r="B667" s="142"/>
      <c r="C667" s="266">
        <v>2</v>
      </c>
      <c r="D667" s="438" t="s">
        <v>686</v>
      </c>
      <c r="E667" s="251"/>
      <c r="G667" s="644"/>
      <c r="H667" s="644"/>
      <c r="I667" s="644"/>
    </row>
    <row r="668" spans="1:9" ht="28.5" customHeight="1">
      <c r="A668" s="142"/>
      <c r="B668" s="142"/>
      <c r="C668" s="266">
        <v>1</v>
      </c>
      <c r="D668" s="438" t="s">
        <v>687</v>
      </c>
      <c r="E668" s="251"/>
      <c r="G668" s="644"/>
      <c r="H668" s="644"/>
      <c r="I668" s="644"/>
    </row>
    <row r="669" spans="1:9" ht="15.75" thickBot="1">
      <c r="A669" s="142"/>
      <c r="B669" s="142"/>
      <c r="C669" s="987" t="s">
        <v>90</v>
      </c>
      <c r="D669" s="988"/>
      <c r="E669" s="217">
        <f>IF(OR(E664&lt;1,E664&gt;4), "Salah Isi",E664)</f>
        <v>3</v>
      </c>
      <c r="G669" s="644"/>
      <c r="H669" s="644"/>
      <c r="I669" s="644"/>
    </row>
    <row r="670" spans="1:9" ht="15.75" thickBot="1">
      <c r="A670" s="142"/>
      <c r="B670" s="142"/>
      <c r="C670" s="79"/>
      <c r="D670" s="79"/>
      <c r="G670" s="81"/>
      <c r="H670" s="52"/>
      <c r="I670" s="50"/>
    </row>
    <row r="671" spans="1:9" ht="27" customHeight="1">
      <c r="A671" s="142">
        <v>83</v>
      </c>
      <c r="B671" s="142" t="s">
        <v>27</v>
      </c>
      <c r="C671" s="860" t="s">
        <v>688</v>
      </c>
      <c r="D671" s="861"/>
      <c r="E671" s="178">
        <v>4</v>
      </c>
      <c r="G671" s="790" t="s">
        <v>693</v>
      </c>
      <c r="H671" s="820"/>
      <c r="I671" s="821"/>
    </row>
    <row r="672" spans="1:9" ht="27" customHeight="1" thickBot="1">
      <c r="A672" s="142"/>
      <c r="B672" s="142"/>
      <c r="C672" s="110">
        <v>4</v>
      </c>
      <c r="D672" s="438" t="s">
        <v>689</v>
      </c>
      <c r="E672" s="453"/>
      <c r="G672" s="802"/>
      <c r="H672" s="803"/>
      <c r="I672" s="804"/>
    </row>
    <row r="673" spans="1:9" ht="28.5" customHeight="1">
      <c r="A673" s="142"/>
      <c r="B673" s="142"/>
      <c r="C673" s="110">
        <v>3</v>
      </c>
      <c r="D673" s="438" t="s">
        <v>691</v>
      </c>
      <c r="E673" s="279"/>
      <c r="G673"/>
    </row>
    <row r="674" spans="1:9" ht="30.75" customHeight="1">
      <c r="A674" s="142"/>
      <c r="B674" s="142"/>
      <c r="C674" s="110">
        <v>2</v>
      </c>
      <c r="D674" s="294" t="s">
        <v>692</v>
      </c>
      <c r="E674" s="267"/>
      <c r="G674"/>
    </row>
    <row r="675" spans="1:9" ht="13.5" customHeight="1">
      <c r="A675" s="142"/>
      <c r="B675" s="142"/>
      <c r="C675" s="110">
        <v>1</v>
      </c>
      <c r="D675" s="294" t="s">
        <v>690</v>
      </c>
      <c r="E675" s="267"/>
      <c r="G675"/>
    </row>
    <row r="676" spans="1:9" ht="15.75" thickBot="1">
      <c r="A676" s="142"/>
      <c r="B676" s="142"/>
      <c r="C676" s="987" t="s">
        <v>90</v>
      </c>
      <c r="D676" s="988"/>
      <c r="E676" s="217">
        <f>IF(OR(E671&lt;1,E671&gt;4), "Salah Isi",E671)</f>
        <v>4</v>
      </c>
      <c r="F676" s="143"/>
      <c r="G676" s="82"/>
    </row>
    <row r="677" spans="1:9" ht="15.75" thickBot="1">
      <c r="A677" s="142"/>
      <c r="B677" s="142"/>
      <c r="C677" s="79"/>
      <c r="D677" s="79"/>
      <c r="G677" s="82"/>
    </row>
    <row r="678" spans="1:9" ht="40.5" customHeight="1" thickBot="1">
      <c r="A678" s="141">
        <v>84</v>
      </c>
      <c r="B678" s="141" t="s">
        <v>586</v>
      </c>
      <c r="C678" s="909" t="s">
        <v>698</v>
      </c>
      <c r="D678" s="910"/>
      <c r="E678" s="178">
        <v>3</v>
      </c>
      <c r="F678" s="50"/>
      <c r="G678" s="822" t="s">
        <v>130</v>
      </c>
      <c r="H678" s="866"/>
      <c r="I678" s="867"/>
    </row>
    <row r="679" spans="1:9" ht="17.25" customHeight="1">
      <c r="A679" s="141"/>
      <c r="B679" s="141"/>
      <c r="C679" s="277">
        <v>4</v>
      </c>
      <c r="D679" s="285" t="s">
        <v>694</v>
      </c>
      <c r="E679" s="280"/>
      <c r="F679" s="50"/>
      <c r="G679" s="644"/>
      <c r="H679" s="644"/>
      <c r="I679" s="644"/>
    </row>
    <row r="680" spans="1:9" ht="27.75" customHeight="1">
      <c r="A680" s="141"/>
      <c r="B680" s="141"/>
      <c r="C680" s="277">
        <v>3</v>
      </c>
      <c r="D680" s="285" t="s">
        <v>695</v>
      </c>
      <c r="E680" s="280"/>
      <c r="F680" s="50"/>
      <c r="G680" s="644"/>
      <c r="H680" s="644"/>
      <c r="I680" s="644"/>
    </row>
    <row r="681" spans="1:9" ht="28.5" customHeight="1">
      <c r="A681" s="141"/>
      <c r="B681" s="141"/>
      <c r="C681" s="277">
        <v>2</v>
      </c>
      <c r="D681" s="285" t="s">
        <v>696</v>
      </c>
      <c r="E681" s="280"/>
      <c r="F681" s="50"/>
      <c r="G681" s="644"/>
      <c r="H681" s="644"/>
      <c r="I681" s="644"/>
    </row>
    <row r="682" spans="1:9" ht="19.5" customHeight="1">
      <c r="A682" s="141"/>
      <c r="B682" s="141"/>
      <c r="C682" s="277">
        <v>1</v>
      </c>
      <c r="D682" s="285" t="s">
        <v>697</v>
      </c>
      <c r="E682" s="280"/>
      <c r="F682" s="50"/>
      <c r="G682" s="644"/>
      <c r="H682" s="644"/>
      <c r="I682" s="644"/>
    </row>
    <row r="683" spans="1:9" ht="15.75" thickBot="1">
      <c r="A683" s="141"/>
      <c r="B683" s="141"/>
      <c r="C683" s="858" t="s">
        <v>90</v>
      </c>
      <c r="D683" s="859"/>
      <c r="E683" s="217">
        <f>IF(OR(E678&lt;1,E678&gt;4), "Salah Isi",E678)</f>
        <v>3</v>
      </c>
      <c r="F683" s="56"/>
      <c r="G683" s="644"/>
      <c r="H683" s="644"/>
      <c r="I683" s="644"/>
    </row>
    <row r="684" spans="1:9" ht="15.75" thickBot="1">
      <c r="A684" s="142"/>
      <c r="B684" s="142"/>
      <c r="C684" s="79"/>
      <c r="D684" s="79"/>
      <c r="G684" s="81"/>
      <c r="H684" s="52"/>
      <c r="I684" s="50"/>
    </row>
    <row r="685" spans="1:9" ht="29.25" customHeight="1" thickBot="1">
      <c r="A685" s="142">
        <v>85</v>
      </c>
      <c r="B685" s="142" t="s">
        <v>587</v>
      </c>
      <c r="C685" s="860" t="s">
        <v>699</v>
      </c>
      <c r="D685" s="979"/>
      <c r="E685" s="330"/>
      <c r="G685" s="822" t="s">
        <v>701</v>
      </c>
      <c r="H685" s="823"/>
      <c r="I685" s="824"/>
    </row>
    <row r="686" spans="1:9" ht="18.75" customHeight="1">
      <c r="A686" s="142"/>
      <c r="B686" s="142"/>
      <c r="C686" s="924" t="s">
        <v>700</v>
      </c>
      <c r="D686" s="925"/>
      <c r="E686" s="446">
        <v>0.8</v>
      </c>
      <c r="G686" s="643"/>
      <c r="H686" s="643"/>
      <c r="I686" s="643"/>
    </row>
    <row r="687" spans="1:9" ht="15.75" thickBot="1">
      <c r="A687" s="142"/>
      <c r="B687" s="142"/>
      <c r="C687" s="837" t="s">
        <v>90</v>
      </c>
      <c r="D687" s="838"/>
      <c r="E687" s="217">
        <f>IF(E686&gt;=0.75,4,16*E686/3)</f>
        <v>4</v>
      </c>
      <c r="G687" s="81"/>
      <c r="H687" s="52"/>
      <c r="I687" s="50"/>
    </row>
    <row r="688" spans="1:9" ht="15.75" thickBot="1">
      <c r="A688" s="142"/>
      <c r="B688" s="142"/>
      <c r="C688" s="79"/>
      <c r="D688" s="79"/>
      <c r="G688" s="81"/>
      <c r="H688" s="52"/>
      <c r="I688" s="50"/>
    </row>
    <row r="689" spans="1:9" ht="25.5" customHeight="1" thickBot="1">
      <c r="A689" s="142">
        <v>86</v>
      </c>
      <c r="B689" s="7" t="s">
        <v>588</v>
      </c>
      <c r="C689" s="825" t="s">
        <v>58</v>
      </c>
      <c r="D689" s="826"/>
      <c r="E689" s="330"/>
      <c r="G689" s="822" t="s">
        <v>716</v>
      </c>
      <c r="H689" s="823"/>
      <c r="I689" s="824"/>
    </row>
    <row r="690" spans="1:9" ht="18.75" customHeight="1">
      <c r="A690" s="142"/>
      <c r="B690" s="7"/>
      <c r="C690" s="441" t="s">
        <v>703</v>
      </c>
      <c r="D690" s="442" t="s">
        <v>707</v>
      </c>
      <c r="E690" s="405">
        <v>0</v>
      </c>
      <c r="G690" s="643"/>
      <c r="H690" s="643"/>
      <c r="I690" s="643"/>
    </row>
    <row r="691" spans="1:9" ht="25.5" customHeight="1">
      <c r="A691" s="142"/>
      <c r="B691" s="7"/>
      <c r="C691" s="441" t="s">
        <v>704</v>
      </c>
      <c r="D691" s="442" t="s">
        <v>708</v>
      </c>
      <c r="E691" s="405">
        <v>5</v>
      </c>
      <c r="G691" s="643"/>
      <c r="H691" s="643"/>
      <c r="I691" s="643"/>
    </row>
    <row r="692" spans="1:9" ht="25.5" customHeight="1">
      <c r="A692" s="142"/>
      <c r="B692" s="7"/>
      <c r="C692" s="441" t="s">
        <v>705</v>
      </c>
      <c r="D692" s="442" t="s">
        <v>709</v>
      </c>
      <c r="E692" s="405">
        <v>0</v>
      </c>
      <c r="G692" s="643"/>
      <c r="H692" s="643"/>
      <c r="I692" s="643"/>
    </row>
    <row r="693" spans="1:9" ht="25.5" customHeight="1">
      <c r="A693" s="142"/>
      <c r="B693" s="18"/>
      <c r="C693" s="441" t="s">
        <v>706</v>
      </c>
      <c r="D693" s="442" t="s">
        <v>710</v>
      </c>
      <c r="E693" s="405">
        <v>8</v>
      </c>
      <c r="G693" s="643"/>
      <c r="H693" s="643"/>
      <c r="I693" s="643"/>
    </row>
    <row r="694" spans="1:9" ht="20.25" customHeight="1">
      <c r="A694" s="142"/>
      <c r="B694" s="18"/>
      <c r="C694" s="964" t="s">
        <v>702</v>
      </c>
      <c r="D694" s="965"/>
      <c r="E694" s="216">
        <f>IF(SUM(E690:E693)&gt;13,"Salah isi", (E690+2*E691+3*E692+4*E693)/13)</f>
        <v>3.2307692307692308</v>
      </c>
      <c r="G694" s="643"/>
      <c r="H694" s="643"/>
      <c r="I694" s="643"/>
    </row>
    <row r="695" spans="1:9" ht="18" customHeight="1" thickBot="1">
      <c r="A695" s="142"/>
      <c r="B695" s="142"/>
      <c r="C695" s="955" t="s">
        <v>982</v>
      </c>
      <c r="D695" s="838"/>
      <c r="E695" s="217">
        <f>E694</f>
        <v>3.2307692307692308</v>
      </c>
      <c r="G695" s="81"/>
      <c r="H695" s="52"/>
      <c r="I695" s="50"/>
    </row>
    <row r="696" spans="1:9" ht="15.75" thickBot="1">
      <c r="A696" s="142"/>
      <c r="B696" s="142"/>
      <c r="C696" s="79"/>
      <c r="D696" s="79"/>
      <c r="G696" s="81"/>
      <c r="H696" s="52"/>
      <c r="I696" s="50"/>
    </row>
    <row r="697" spans="1:9" ht="54.75" customHeight="1" thickBot="1">
      <c r="A697" s="141">
        <v>87</v>
      </c>
      <c r="B697" s="141" t="s">
        <v>589</v>
      </c>
      <c r="C697" s="827" t="s">
        <v>888</v>
      </c>
      <c r="D697" s="855"/>
      <c r="E697" s="178">
        <v>3</v>
      </c>
      <c r="G697" s="822" t="s">
        <v>715</v>
      </c>
      <c r="H697" s="823"/>
      <c r="I697" s="824"/>
    </row>
    <row r="698" spans="1:9" ht="29.25" customHeight="1">
      <c r="A698" s="142"/>
      <c r="B698" s="142"/>
      <c r="C698" s="171">
        <v>4</v>
      </c>
      <c r="D698" s="285" t="s">
        <v>712</v>
      </c>
      <c r="E698" s="278"/>
      <c r="F698" s="50"/>
      <c r="G698" s="644"/>
      <c r="H698" s="644"/>
      <c r="I698" s="644"/>
    </row>
    <row r="699" spans="1:9" ht="41.25" customHeight="1">
      <c r="A699" s="141"/>
      <c r="B699" s="141"/>
      <c r="C699" s="401">
        <v>3</v>
      </c>
      <c r="D699" s="285" t="s">
        <v>713</v>
      </c>
      <c r="E699" s="279"/>
      <c r="F699" s="50"/>
      <c r="G699" s="81"/>
      <c r="H699" s="52"/>
      <c r="I699" s="50"/>
    </row>
    <row r="700" spans="1:9" ht="42" customHeight="1">
      <c r="A700" s="141"/>
      <c r="B700" s="141"/>
      <c r="C700" s="171">
        <v>2</v>
      </c>
      <c r="D700" s="285" t="s">
        <v>714</v>
      </c>
      <c r="E700" s="279"/>
      <c r="F700" s="50"/>
      <c r="G700" s="81"/>
      <c r="H700" s="52"/>
      <c r="I700" s="50"/>
    </row>
    <row r="701" spans="1:9" ht="26.25">
      <c r="A701" s="141"/>
      <c r="B701" s="141"/>
      <c r="C701" s="401">
        <v>1</v>
      </c>
      <c r="D701" s="332" t="s">
        <v>711</v>
      </c>
      <c r="E701" s="400"/>
      <c r="F701" s="50"/>
      <c r="G701" s="81"/>
      <c r="H701" s="52"/>
      <c r="I701" s="50"/>
    </row>
    <row r="702" spans="1:9" ht="15.75" thickBot="1">
      <c r="A702" s="141"/>
      <c r="B702" s="141"/>
      <c r="C702" s="97" t="s">
        <v>90</v>
      </c>
      <c r="D702" s="94"/>
      <c r="E702" s="217">
        <f>IF(OR(E697&lt;1,E697&gt;4), "Salah Isi",E697)</f>
        <v>3</v>
      </c>
      <c r="F702" s="56"/>
      <c r="G702" s="81"/>
      <c r="H702" s="52"/>
      <c r="I702" s="50"/>
    </row>
    <row r="703" spans="1:9" ht="15.75" thickBot="1">
      <c r="A703" s="141"/>
      <c r="B703" s="141"/>
      <c r="C703" s="146"/>
      <c r="D703" s="92"/>
      <c r="E703" s="50"/>
      <c r="F703" s="50"/>
      <c r="G703" s="81"/>
      <c r="H703" s="52"/>
      <c r="I703" s="50"/>
    </row>
    <row r="704" spans="1:9" ht="129.75" customHeight="1" thickBot="1">
      <c r="A704" s="141">
        <v>88</v>
      </c>
      <c r="B704" s="141" t="s">
        <v>590</v>
      </c>
      <c r="C704" s="956" t="s">
        <v>812</v>
      </c>
      <c r="D704" s="957"/>
      <c r="E704" s="178">
        <v>4</v>
      </c>
      <c r="G704" s="822" t="s">
        <v>717</v>
      </c>
      <c r="H704" s="866"/>
      <c r="I704" s="867"/>
    </row>
    <row r="705" spans="1:9" ht="15" customHeight="1">
      <c r="A705" s="141"/>
      <c r="B705" s="141"/>
      <c r="C705" s="462">
        <v>4</v>
      </c>
      <c r="D705" s="443" t="s">
        <v>718</v>
      </c>
      <c r="E705" s="453"/>
      <c r="G705" s="644"/>
      <c r="H705" s="644"/>
      <c r="I705" s="644"/>
    </row>
    <row r="706" spans="1:9" ht="14.25" customHeight="1">
      <c r="A706" s="141"/>
      <c r="B706" s="141"/>
      <c r="C706" s="462">
        <v>3</v>
      </c>
      <c r="D706" s="443" t="s">
        <v>720</v>
      </c>
      <c r="E706" s="279"/>
      <c r="G706" s="50"/>
      <c r="H706" s="52"/>
      <c r="I706" s="50"/>
    </row>
    <row r="707" spans="1:9" ht="13.5" customHeight="1">
      <c r="A707" s="141"/>
      <c r="B707" s="141"/>
      <c r="C707" s="462">
        <v>2</v>
      </c>
      <c r="D707" s="443" t="s">
        <v>719</v>
      </c>
      <c r="E707" s="279"/>
      <c r="G707" s="50"/>
      <c r="H707" s="52"/>
      <c r="I707" s="50"/>
    </row>
    <row r="708" spans="1:9" ht="15" customHeight="1">
      <c r="A708" s="141"/>
      <c r="B708" s="141"/>
      <c r="C708" s="462">
        <v>1</v>
      </c>
      <c r="D708" s="465" t="s">
        <v>721</v>
      </c>
      <c r="E708" s="464"/>
      <c r="G708" s="50"/>
      <c r="H708" s="52"/>
      <c r="I708" s="50"/>
    </row>
    <row r="709" spans="1:9" ht="15.75" thickBot="1">
      <c r="A709" s="141"/>
      <c r="B709" s="141"/>
      <c r="C709" s="837" t="s">
        <v>90</v>
      </c>
      <c r="D709" s="838"/>
      <c r="E709" s="217">
        <f>IF(OR(E704&lt;1,E704&gt;4), "Salah Isi",E704)</f>
        <v>4</v>
      </c>
      <c r="F709" s="143"/>
      <c r="G709" s="81"/>
      <c r="H709" s="52"/>
      <c r="I709" s="50"/>
    </row>
    <row r="710" spans="1:9" ht="15.75" thickBot="1">
      <c r="A710" s="141"/>
      <c r="B710" s="141"/>
      <c r="C710" s="146"/>
      <c r="D710" s="92"/>
      <c r="E710" s="50"/>
      <c r="F710" s="50"/>
      <c r="G710" s="81"/>
      <c r="H710" s="52"/>
      <c r="I710" s="50"/>
    </row>
    <row r="711" spans="1:9" ht="56.25" customHeight="1">
      <c r="A711" s="141">
        <v>89</v>
      </c>
      <c r="B711" s="141" t="s">
        <v>59</v>
      </c>
      <c r="C711" s="966" t="s">
        <v>722</v>
      </c>
      <c r="D711" s="967"/>
      <c r="E711" s="330"/>
      <c r="G711" s="805" t="str">
        <f>"Jumlah penelitian dengan biaya dari PT atau dosen = "&amp;E712&amp;"; Jumlah penelitian dengan biaya luar = "&amp;E713&amp;"; jumlah penelitian dengan biaya luar negeri = "&amp;E714&amp;" Jumlah dosen tetap perguruan tinggi = "&amp;E715&amp;" sehingga nilai kasar ="&amp;ROUND(E716,2)</f>
        <v>Jumlah penelitian dengan biaya dari PT atau dosen = 48; Jumlah penelitian dengan biaya luar = 4; jumlah penelitian dengan biaya luar negeri = 0 Jumlah dosen tetap perguruan tinggi = 51 sehingga nilai kasar =1.1</v>
      </c>
      <c r="H711" s="806"/>
      <c r="I711" s="807"/>
    </row>
    <row r="712" spans="1:9" ht="17.25" customHeight="1">
      <c r="A712" s="141"/>
      <c r="B712" s="141"/>
      <c r="C712" s="478" t="s">
        <v>727</v>
      </c>
      <c r="D712" s="466" t="s">
        <v>724</v>
      </c>
      <c r="E712" s="179">
        <v>48</v>
      </c>
      <c r="G712" s="799" t="s">
        <v>1023</v>
      </c>
      <c r="H712" s="800"/>
      <c r="I712" s="801"/>
    </row>
    <row r="713" spans="1:9" ht="17.25" customHeight="1" thickBot="1">
      <c r="A713" s="141"/>
      <c r="B713" s="141"/>
      <c r="C713" s="478" t="s">
        <v>728</v>
      </c>
      <c r="D713" s="466" t="s">
        <v>725</v>
      </c>
      <c r="E713" s="179">
        <v>4</v>
      </c>
      <c r="G713" s="802"/>
      <c r="H713" s="803"/>
      <c r="I713" s="804"/>
    </row>
    <row r="714" spans="1:9" ht="17.25" customHeight="1">
      <c r="A714" s="141"/>
      <c r="B714" s="141"/>
      <c r="C714" s="478" t="s">
        <v>729</v>
      </c>
      <c r="D714" s="466" t="s">
        <v>726</v>
      </c>
      <c r="E714" s="179">
        <v>0</v>
      </c>
      <c r="G714" s="644"/>
      <c r="H714" s="644"/>
      <c r="I714" s="644"/>
    </row>
    <row r="715" spans="1:9" ht="17.25" customHeight="1">
      <c r="A715" s="141"/>
      <c r="B715" s="141"/>
      <c r="C715" s="478" t="s">
        <v>91</v>
      </c>
      <c r="D715" s="466" t="s">
        <v>723</v>
      </c>
      <c r="E715" s="411">
        <f>E407</f>
        <v>51</v>
      </c>
      <c r="G715" s="644"/>
      <c r="H715" s="644"/>
      <c r="I715" s="644"/>
    </row>
    <row r="716" spans="1:9" ht="17.25" customHeight="1">
      <c r="A716" s="141"/>
      <c r="B716" s="141"/>
      <c r="C716" s="479"/>
      <c r="D716" s="466" t="s">
        <v>991</v>
      </c>
      <c r="E716" s="216">
        <f>(4*E714+2*E713+E712)/E715</f>
        <v>1.0980392156862746</v>
      </c>
      <c r="G716" s="644"/>
      <c r="H716" s="644"/>
      <c r="I716" s="644"/>
    </row>
    <row r="717" spans="1:9" ht="15.75" thickBot="1">
      <c r="A717" s="141"/>
      <c r="B717" s="141"/>
      <c r="C717" s="837" t="s">
        <v>90</v>
      </c>
      <c r="D717" s="838"/>
      <c r="E717" s="217">
        <f>IF(E716&gt;=2,4,IF(AND(E716&gt;0,E716&lt;2),1+1.5*E716,0))</f>
        <v>2.6470588235294121</v>
      </c>
      <c r="G717" s="644"/>
      <c r="H717" s="644"/>
      <c r="I717" s="644"/>
    </row>
    <row r="718" spans="1:9" ht="15.75" thickBot="1">
      <c r="A718" s="141"/>
      <c r="B718" s="141"/>
      <c r="C718" s="146"/>
      <c r="D718" s="92"/>
      <c r="E718" s="50"/>
      <c r="F718" s="50"/>
      <c r="G718" s="81"/>
      <c r="H718" s="52"/>
      <c r="I718" s="50"/>
    </row>
    <row r="719" spans="1:9" ht="27" customHeight="1">
      <c r="A719" s="141">
        <v>90</v>
      </c>
      <c r="B719" s="141" t="s">
        <v>60</v>
      </c>
      <c r="C719" s="956" t="s">
        <v>730</v>
      </c>
      <c r="D719" s="957"/>
      <c r="E719" s="83"/>
      <c r="F719" s="50"/>
      <c r="G719" s="811" t="str">
        <f>"Jurnal ilmiah terakreditasi DIKTI = "&amp;E720&amp;", Jurnal ilmiah internasional = "&amp;E721&amp;", Buku tingkat nasional = "&amp;E722&amp;", Buku tingkat internasional = "&amp;E723&amp;", Karya seni tingkat nasional = "&amp;E724&amp;", Karya seni tingkat internasional = "&amp;E725&amp;", Karya sastra tingkat nasional = "&amp;E726&amp;", Karya sastra tingkat internasional = "&amp;E727&amp;", Jumlah dosen tetap perguruan tinggi = "&amp;E728&amp;", sehingga nilai kasar = "&amp;ROUND(E729,2)</f>
        <v>Jurnal ilmiah terakreditasi DIKTI = 0, Jurnal ilmiah internasional = 3, Buku tingkat nasional = 14, Buku tingkat internasional = 0, Karya seni tingkat nasional = 0, Karya seni tingkat internasional = 0, Karya sastra tingkat nasional = 0, Karya sastra tingkat internasional = 0, Jumlah dosen tetap perguruan tinggi = 51, sehingga nilai kasar = 0.39</v>
      </c>
      <c r="H719" s="812"/>
      <c r="I719" s="813"/>
    </row>
    <row r="720" spans="1:9" ht="18" customHeight="1">
      <c r="A720"/>
      <c r="B720"/>
      <c r="C720" s="463" t="s">
        <v>739</v>
      </c>
      <c r="D720" s="460" t="s">
        <v>738</v>
      </c>
      <c r="E720" s="147">
        <v>0</v>
      </c>
      <c r="F720" s="50"/>
      <c r="G720" s="814"/>
      <c r="H720" s="815"/>
      <c r="I720" s="816"/>
    </row>
    <row r="721" spans="1:9" ht="16.5" customHeight="1">
      <c r="A721"/>
      <c r="B721"/>
      <c r="C721" s="469" t="s">
        <v>740</v>
      </c>
      <c r="D721" s="467" t="s">
        <v>731</v>
      </c>
      <c r="E721" s="470">
        <v>3</v>
      </c>
      <c r="F721" s="50"/>
      <c r="G721" s="814"/>
      <c r="H721" s="815"/>
      <c r="I721" s="816"/>
    </row>
    <row r="722" spans="1:9" ht="17.25" customHeight="1">
      <c r="A722"/>
      <c r="B722"/>
      <c r="C722" s="469" t="s">
        <v>741</v>
      </c>
      <c r="D722" s="467" t="s">
        <v>732</v>
      </c>
      <c r="E722" s="470">
        <v>14</v>
      </c>
      <c r="F722" s="50"/>
      <c r="G722" s="814"/>
      <c r="H722" s="815"/>
      <c r="I722" s="816"/>
    </row>
    <row r="723" spans="1:9" ht="17.25" customHeight="1">
      <c r="A723"/>
      <c r="B723"/>
      <c r="C723" s="469" t="s">
        <v>742</v>
      </c>
      <c r="D723" s="467" t="s">
        <v>733</v>
      </c>
      <c r="E723" s="470">
        <v>0</v>
      </c>
      <c r="F723" s="50"/>
      <c r="G723" s="814"/>
      <c r="H723" s="815"/>
      <c r="I723" s="816"/>
    </row>
    <row r="724" spans="1:9" ht="17.25" customHeight="1" thickBot="1">
      <c r="A724"/>
      <c r="B724"/>
      <c r="C724" s="469" t="s">
        <v>743</v>
      </c>
      <c r="D724" s="467" t="s">
        <v>734</v>
      </c>
      <c r="E724" s="470">
        <v>0</v>
      </c>
      <c r="F724" s="50"/>
      <c r="G724" s="817"/>
      <c r="H724" s="818"/>
      <c r="I724" s="819"/>
    </row>
    <row r="725" spans="1:9" ht="16.5" customHeight="1">
      <c r="A725"/>
      <c r="B725"/>
      <c r="C725" s="469" t="s">
        <v>744</v>
      </c>
      <c r="D725" s="467" t="s">
        <v>735</v>
      </c>
      <c r="E725" s="470">
        <v>0</v>
      </c>
      <c r="F725" s="50"/>
      <c r="G725" s="808" t="s">
        <v>1023</v>
      </c>
      <c r="H725" s="809"/>
      <c r="I725" s="810"/>
    </row>
    <row r="726" spans="1:9" ht="17.25" customHeight="1" thickBot="1">
      <c r="A726"/>
      <c r="B726"/>
      <c r="C726" s="469" t="s">
        <v>745</v>
      </c>
      <c r="D726" s="468" t="s">
        <v>736</v>
      </c>
      <c r="E726" s="470">
        <v>0</v>
      </c>
      <c r="F726" s="50"/>
      <c r="G726" s="802"/>
      <c r="H726" s="803"/>
      <c r="I726" s="804"/>
    </row>
    <row r="727" spans="1:9" ht="17.25" customHeight="1">
      <c r="A727"/>
      <c r="B727"/>
      <c r="C727" s="469" t="s">
        <v>746</v>
      </c>
      <c r="D727" s="468" t="s">
        <v>737</v>
      </c>
      <c r="E727" s="470">
        <v>0</v>
      </c>
      <c r="F727" s="50"/>
      <c r="G727"/>
    </row>
    <row r="728" spans="1:9" ht="17.25" customHeight="1">
      <c r="A728"/>
      <c r="B728"/>
      <c r="C728" s="469" t="s">
        <v>91</v>
      </c>
      <c r="D728" s="468" t="s">
        <v>723</v>
      </c>
      <c r="E728" s="471">
        <f>E407</f>
        <v>51</v>
      </c>
      <c r="F728" s="50"/>
      <c r="G728"/>
    </row>
    <row r="729" spans="1:9" ht="17.25" customHeight="1">
      <c r="A729"/>
      <c r="B729"/>
      <c r="C729" s="469" t="s">
        <v>747</v>
      </c>
      <c r="D729" s="468" t="s">
        <v>748</v>
      </c>
      <c r="E729" s="472">
        <f>((E720+E722+E724+E726)+2*(E721+E723+E725+E727))/E728</f>
        <v>0.39215686274509803</v>
      </c>
      <c r="F729" s="50"/>
      <c r="G729"/>
    </row>
    <row r="730" spans="1:9" ht="15.75" thickBot="1">
      <c r="A730" s="141"/>
      <c r="B730" s="141"/>
      <c r="C730" s="837" t="s">
        <v>90</v>
      </c>
      <c r="D730" s="838"/>
      <c r="E730" s="217">
        <f>IF(E729&gt;=1,4,4*E729)</f>
        <v>1.5686274509803921</v>
      </c>
      <c r="F730" s="56"/>
      <c r="G730" s="82"/>
    </row>
    <row r="731" spans="1:9" ht="15.75" thickBot="1">
      <c r="A731" s="141"/>
      <c r="B731" s="141"/>
      <c r="C731" s="136"/>
      <c r="D731" s="136"/>
      <c r="E731" s="382"/>
      <c r="F731" s="56"/>
      <c r="G731" s="82"/>
    </row>
    <row r="732" spans="1:9" ht="43.5" customHeight="1">
      <c r="A732" s="78">
        <v>91</v>
      </c>
      <c r="B732" s="78" t="s">
        <v>61</v>
      </c>
      <c r="C732" s="958" t="s">
        <v>749</v>
      </c>
      <c r="D732" s="959"/>
      <c r="E732" s="83"/>
      <c r="F732" s="50"/>
      <c r="G732" s="805" t="str">
        <f>"Banyaknya artikel ilmiah karya dosen tetap dalam tiga tahun terakhir yang disitasi = "&amp;E733&amp;"; jumlah dosen tetap perguruan tinggi = "&amp;E734&amp;"; sehingga nilai kasar =" &amp;ROUND(E735,2)</f>
        <v>Banyaknya artikel ilmiah karya dosen tetap dalam tiga tahun terakhir yang disitasi = 0; jumlah dosen tetap perguruan tinggi = 51; sehingga nilai kasar =0</v>
      </c>
      <c r="H732" s="806"/>
      <c r="I732" s="807"/>
    </row>
    <row r="733" spans="1:9" ht="28.5" customHeight="1">
      <c r="A733"/>
      <c r="B733"/>
      <c r="C733" s="156" t="s">
        <v>751</v>
      </c>
      <c r="D733" s="461" t="s">
        <v>750</v>
      </c>
      <c r="E733" s="147">
        <v>0</v>
      </c>
      <c r="F733" s="50"/>
      <c r="G733" s="799" t="s">
        <v>1023</v>
      </c>
      <c r="H733" s="800"/>
      <c r="I733" s="801"/>
    </row>
    <row r="734" spans="1:9" ht="16.5" customHeight="1" thickBot="1">
      <c r="A734"/>
      <c r="B734"/>
      <c r="C734" s="469" t="s">
        <v>91</v>
      </c>
      <c r="D734" s="476" t="s">
        <v>723</v>
      </c>
      <c r="E734" s="471">
        <f>E728</f>
        <v>51</v>
      </c>
      <c r="F734" s="50"/>
      <c r="G734" s="802"/>
      <c r="H734" s="803"/>
      <c r="I734" s="804"/>
    </row>
    <row r="735" spans="1:9" ht="16.5" customHeight="1">
      <c r="A735"/>
      <c r="B735"/>
      <c r="C735" s="469" t="s">
        <v>747</v>
      </c>
      <c r="D735" s="476" t="s">
        <v>1000</v>
      </c>
      <c r="E735" s="472">
        <f>E733/E734*100</f>
        <v>0</v>
      </c>
      <c r="F735" s="50"/>
      <c r="G735"/>
    </row>
    <row r="736" spans="1:9" ht="15.75" thickBot="1">
      <c r="A736" s="141"/>
      <c r="B736" s="141"/>
      <c r="C736" s="960" t="s">
        <v>90</v>
      </c>
      <c r="D736" s="961"/>
      <c r="E736" s="217">
        <f>IF(E735&gt;=25,4,2+0.08*E735)</f>
        <v>2</v>
      </c>
      <c r="F736" s="56"/>
      <c r="G736" s="82"/>
    </row>
    <row r="737" spans="1:9" ht="15.75" thickBot="1">
      <c r="A737" s="141"/>
      <c r="B737" s="141"/>
      <c r="C737" s="146"/>
      <c r="D737" s="92"/>
      <c r="E737" s="50"/>
      <c r="F737" s="50"/>
      <c r="G737" s="82"/>
    </row>
    <row r="738" spans="1:9" ht="74.25" customHeight="1">
      <c r="A738" s="141">
        <v>92</v>
      </c>
      <c r="B738" s="141" t="s">
        <v>591</v>
      </c>
      <c r="C738" s="860" t="s">
        <v>752</v>
      </c>
      <c r="D738" s="861"/>
      <c r="E738" s="84"/>
      <c r="F738" s="50"/>
      <c r="G738" s="805" t="str">
        <f>"Jumlah karya yang memperoleh paten = "&amp;E739&amp;"; Jumlah karya yang memperoleh HAKI ="&amp;E740&amp;"; jumlah karya yang memperoleh penghargaan dari lembaga nasional atau internasional ="&amp;E741&amp;"; Jumlah program studi = "&amp;E742&amp;" sehingga nilai kasar ="&amp;ROUND(E743,2)</f>
        <v>Jumlah karya yang memperoleh paten = 0; Jumlah karya yang memperoleh HAKI =0; jumlah karya yang memperoleh penghargaan dari lembaga nasional atau internasional =0; Jumlah program studi = 3 sehingga nilai kasar =0</v>
      </c>
      <c r="H738" s="806"/>
      <c r="I738" s="807"/>
    </row>
    <row r="739" spans="1:9">
      <c r="A739" s="142"/>
      <c r="B739" s="142"/>
      <c r="C739" s="171" t="s">
        <v>94</v>
      </c>
      <c r="D739" s="475" t="s">
        <v>753</v>
      </c>
      <c r="E739" s="85">
        <v>0</v>
      </c>
      <c r="F739" s="50"/>
      <c r="G739" s="799" t="s">
        <v>1023</v>
      </c>
      <c r="H739" s="800"/>
      <c r="I739" s="801"/>
    </row>
    <row r="740" spans="1:9" ht="15.75" thickBot="1">
      <c r="A740" s="141"/>
      <c r="B740" s="141"/>
      <c r="C740" s="171" t="s">
        <v>95</v>
      </c>
      <c r="D740" s="475" t="s">
        <v>754</v>
      </c>
      <c r="E740" s="85">
        <v>0</v>
      </c>
      <c r="F740" s="50"/>
      <c r="G740" s="802"/>
      <c r="H740" s="803"/>
      <c r="I740" s="804"/>
    </row>
    <row r="741" spans="1:9" ht="25.5">
      <c r="A741" s="141"/>
      <c r="B741" s="141"/>
      <c r="C741" s="171" t="s">
        <v>96</v>
      </c>
      <c r="D741" s="285" t="s">
        <v>755</v>
      </c>
      <c r="E741" s="85">
        <v>0</v>
      </c>
      <c r="F741" s="50"/>
      <c r="G741" s="82"/>
    </row>
    <row r="742" spans="1:9" ht="15.75">
      <c r="A742" s="141"/>
      <c r="B742" s="141"/>
      <c r="C742" s="474" t="s">
        <v>480</v>
      </c>
      <c r="D742" s="475" t="s">
        <v>756</v>
      </c>
      <c r="E742" s="225">
        <f>E142</f>
        <v>3</v>
      </c>
      <c r="F742" s="50"/>
      <c r="G742" s="82"/>
    </row>
    <row r="743" spans="1:9" ht="15.75">
      <c r="A743" s="141"/>
      <c r="B743" s="141"/>
      <c r="C743" s="474" t="s">
        <v>757</v>
      </c>
      <c r="D743" s="475" t="s">
        <v>758</v>
      </c>
      <c r="E743" s="216">
        <f>(4*E739+E740+2*E741)/E742</f>
        <v>0</v>
      </c>
      <c r="F743" s="50"/>
      <c r="G743" s="82"/>
    </row>
    <row r="744" spans="1:9" ht="15.75" thickBot="1">
      <c r="A744" s="141"/>
      <c r="B744" s="141"/>
      <c r="C744" s="880" t="s">
        <v>90</v>
      </c>
      <c r="D744" s="881"/>
      <c r="E744" s="217">
        <f>IF(E743&gt;=8,4,2+E743/4)</f>
        <v>2</v>
      </c>
      <c r="F744" s="56"/>
      <c r="G744" s="82"/>
    </row>
    <row r="745" spans="1:9" ht="15.75" thickBot="1">
      <c r="A745" s="141"/>
      <c r="B745" s="141"/>
      <c r="C745" s="91"/>
      <c r="D745" s="91"/>
      <c r="E745" s="78"/>
      <c r="F745" s="50"/>
      <c r="G745" s="82"/>
    </row>
    <row r="746" spans="1:9" ht="119.25" customHeight="1" thickBot="1">
      <c r="A746" s="141">
        <v>93</v>
      </c>
      <c r="B746" s="141" t="s">
        <v>28</v>
      </c>
      <c r="C746" s="860" t="s">
        <v>759</v>
      </c>
      <c r="D746" s="861"/>
      <c r="E746" s="178">
        <v>1</v>
      </c>
      <c r="F746" s="50"/>
      <c r="G746" s="822" t="s">
        <v>767</v>
      </c>
      <c r="H746" s="823"/>
      <c r="I746" s="824"/>
    </row>
    <row r="747" spans="1:9">
      <c r="A747" s="142"/>
      <c r="B747" s="142"/>
      <c r="C747" s="90">
        <v>4</v>
      </c>
      <c r="D747" s="285" t="s">
        <v>766</v>
      </c>
      <c r="E747" s="452"/>
      <c r="F747" s="50"/>
      <c r="G747" s="644"/>
      <c r="H747" s="644"/>
      <c r="I747" s="644"/>
    </row>
    <row r="748" spans="1:9">
      <c r="A748" s="141"/>
      <c r="B748" s="141"/>
      <c r="C748" s="90">
        <v>3</v>
      </c>
      <c r="D748" s="282" t="s">
        <v>764</v>
      </c>
      <c r="E748" s="452"/>
      <c r="F748" s="50"/>
      <c r="G748" s="81"/>
      <c r="H748" s="52"/>
      <c r="I748" s="50"/>
    </row>
    <row r="749" spans="1:9">
      <c r="A749" s="141"/>
      <c r="B749" s="141"/>
      <c r="C749" s="90">
        <v>2</v>
      </c>
      <c r="D749" s="285" t="s">
        <v>765</v>
      </c>
      <c r="E749" s="452"/>
      <c r="F749" s="50"/>
      <c r="G749" s="81"/>
      <c r="H749" s="52"/>
      <c r="I749" s="50"/>
    </row>
    <row r="750" spans="1:9">
      <c r="A750" s="141"/>
      <c r="B750" s="141"/>
      <c r="C750" s="90">
        <v>1</v>
      </c>
      <c r="D750" s="226" t="s">
        <v>763</v>
      </c>
      <c r="E750" s="452"/>
      <c r="F750" s="50"/>
      <c r="G750" s="81"/>
      <c r="H750" s="52"/>
      <c r="I750" s="50"/>
    </row>
    <row r="751" spans="1:9" ht="15.75" thickBot="1">
      <c r="A751" s="141"/>
      <c r="B751" s="141"/>
      <c r="C751" s="858" t="s">
        <v>90</v>
      </c>
      <c r="D751" s="859"/>
      <c r="E751" s="217">
        <f>IF(OR(E746&lt;1,E746&gt;4), "Salah Isi",E746)</f>
        <v>1</v>
      </c>
      <c r="F751" s="56"/>
      <c r="G751" s="81"/>
      <c r="H751" s="52"/>
      <c r="I751" s="50"/>
    </row>
    <row r="752" spans="1:9" ht="15.75" thickBot="1">
      <c r="A752" s="142"/>
      <c r="B752" s="142"/>
      <c r="C752" s="79"/>
      <c r="D752" s="79"/>
      <c r="G752" s="81"/>
      <c r="H752" s="52"/>
      <c r="I752" s="50"/>
    </row>
    <row r="753" spans="1:9" ht="75.75" customHeight="1">
      <c r="A753" s="142">
        <v>94</v>
      </c>
      <c r="B753" s="142" t="s">
        <v>62</v>
      </c>
      <c r="C753" s="827" t="s">
        <v>983</v>
      </c>
      <c r="D753" s="855"/>
      <c r="E753" s="178">
        <v>1</v>
      </c>
      <c r="G753" s="790" t="s">
        <v>129</v>
      </c>
      <c r="H753" s="820"/>
      <c r="I753" s="821"/>
    </row>
    <row r="754" spans="1:9" ht="19.5" customHeight="1" thickBot="1">
      <c r="A754" s="142"/>
      <c r="B754" s="142"/>
      <c r="C754" s="266">
        <v>4</v>
      </c>
      <c r="D754" s="715" t="s">
        <v>984</v>
      </c>
      <c r="E754" s="480"/>
      <c r="G754" s="802"/>
      <c r="H754" s="803"/>
      <c r="I754" s="804"/>
    </row>
    <row r="755" spans="1:9" ht="18.75" customHeight="1">
      <c r="A755" s="142"/>
      <c r="B755" s="142"/>
      <c r="C755" s="266">
        <v>3</v>
      </c>
      <c r="D755" s="715" t="s">
        <v>985</v>
      </c>
      <c r="E755" s="480"/>
      <c r="G755" s="237"/>
      <c r="H755" s="237"/>
      <c r="I755" s="237"/>
    </row>
    <row r="756" spans="1:9" ht="18" customHeight="1">
      <c r="A756" s="142"/>
      <c r="B756" s="142"/>
      <c r="C756" s="266">
        <v>2</v>
      </c>
      <c r="D756" s="715" t="s">
        <v>986</v>
      </c>
      <c r="E756" s="480"/>
      <c r="G756" s="237"/>
      <c r="H756" s="237"/>
      <c r="I756" s="237"/>
    </row>
    <row r="757" spans="1:9" ht="27.75" customHeight="1">
      <c r="A757" s="142"/>
      <c r="B757" s="142"/>
      <c r="C757" s="266">
        <v>1</v>
      </c>
      <c r="D757" s="715" t="s">
        <v>768</v>
      </c>
      <c r="E757" s="480"/>
      <c r="G757" s="237"/>
      <c r="H757" s="237"/>
      <c r="I757" s="237"/>
    </row>
    <row r="758" spans="1:9" ht="15.75" thickBot="1">
      <c r="A758" s="142"/>
      <c r="B758" s="142"/>
      <c r="C758" s="862" t="s">
        <v>90</v>
      </c>
      <c r="D758" s="863"/>
      <c r="E758" s="217">
        <f>IF(E753&lt;1,"Salah isi", IF(E753&gt;4, "Salah isi", E753))</f>
        <v>1</v>
      </c>
      <c r="G758" s="237"/>
      <c r="H758" s="237"/>
      <c r="I758" s="237"/>
    </row>
    <row r="759" spans="1:9" ht="15.75" thickBot="1">
      <c r="A759" s="142"/>
      <c r="B759" s="142"/>
      <c r="C759" s="79"/>
      <c r="D759" s="79"/>
      <c r="G759" s="82"/>
    </row>
    <row r="760" spans="1:9" ht="63.75" customHeight="1">
      <c r="A760" s="7">
        <v>95</v>
      </c>
      <c r="B760" s="7" t="s">
        <v>63</v>
      </c>
      <c r="C760" s="856" t="s">
        <v>769</v>
      </c>
      <c r="D760" s="857"/>
      <c r="E760" s="87"/>
      <c r="G760" s="805" t="str">
        <f>"Jumlah PkM dengan biaya luar negeri =  "&amp;E761&amp;", Jumlah PkM dengan biaya luar = "&amp;E762&amp;", Jumlah PkM dengan biaya dari PT atau dosen = "&amp;E763&amp;",  jumlah dosen tetap perguruan tinggi = "&amp;E764&amp;", sehingga nilai kasar = "&amp;ROUND(E765,2)</f>
        <v>Jumlah PkM dengan biaya luar negeri =  0, Jumlah PkM dengan biaya luar = 0, Jumlah PkM dengan biaya dari PT atau dosen = 40,  jumlah dosen tetap perguruan tinggi = 51, sehingga nilai kasar = 0.78</v>
      </c>
      <c r="H760" s="806"/>
      <c r="I760" s="807"/>
    </row>
    <row r="761" spans="1:9" ht="18.75" customHeight="1">
      <c r="A761" s="7"/>
      <c r="B761" s="7"/>
      <c r="C761" s="457" t="s">
        <v>1</v>
      </c>
      <c r="D761" s="481" t="s">
        <v>771</v>
      </c>
      <c r="E761" s="488">
        <v>0</v>
      </c>
      <c r="G761" s="799" t="s">
        <v>1023</v>
      </c>
      <c r="H761" s="800"/>
      <c r="I761" s="801"/>
    </row>
    <row r="762" spans="1:9" ht="18" customHeight="1" thickBot="1">
      <c r="A762" s="7"/>
      <c r="B762" s="7"/>
      <c r="C762" s="457" t="s">
        <v>2</v>
      </c>
      <c r="D762" s="481" t="s">
        <v>770</v>
      </c>
      <c r="E762" s="488">
        <v>0</v>
      </c>
      <c r="G762" s="802"/>
      <c r="H762" s="803"/>
      <c r="I762" s="804"/>
    </row>
    <row r="763" spans="1:9" ht="17.25" customHeight="1">
      <c r="A763" s="142"/>
      <c r="B763" s="142"/>
      <c r="C763" s="265" t="s">
        <v>3</v>
      </c>
      <c r="D763" s="482" t="s">
        <v>772</v>
      </c>
      <c r="E763" s="485">
        <v>40</v>
      </c>
      <c r="G763" s="81"/>
      <c r="H763" s="52"/>
      <c r="I763" s="50"/>
    </row>
    <row r="764" spans="1:9" ht="16.5" customHeight="1">
      <c r="A764" s="142"/>
      <c r="B764" s="142"/>
      <c r="C764" s="265" t="s">
        <v>91</v>
      </c>
      <c r="D764" s="483" t="s">
        <v>723</v>
      </c>
      <c r="E764" s="484">
        <f>E407</f>
        <v>51</v>
      </c>
      <c r="G764" s="81"/>
      <c r="H764" s="52"/>
      <c r="I764" s="50"/>
    </row>
    <row r="765" spans="1:9" ht="17.25" customHeight="1">
      <c r="A765" s="142"/>
      <c r="B765" s="142"/>
      <c r="C765" s="486" t="s">
        <v>747</v>
      </c>
      <c r="D765" s="487" t="s">
        <v>773</v>
      </c>
      <c r="E765" s="312">
        <f>(4*E761+2*E762+E763)/E764</f>
        <v>0.78431372549019607</v>
      </c>
      <c r="G765" s="81"/>
      <c r="H765" s="52"/>
      <c r="I765" s="50"/>
    </row>
    <row r="766" spans="1:9" ht="15.75" thickBot="1">
      <c r="A766" s="142"/>
      <c r="B766" s="142"/>
      <c r="C766" s="862" t="s">
        <v>90</v>
      </c>
      <c r="D766" s="863"/>
      <c r="E766" s="217">
        <f>IF(E765&gt;=1,4,IF(AND(E765&gt;0,E765&lt;1),1+3*E765,0))</f>
        <v>3.3529411764705883</v>
      </c>
      <c r="F766" s="143"/>
      <c r="G766" s="81"/>
      <c r="H766" s="52"/>
      <c r="I766" s="50"/>
    </row>
    <row r="767" spans="1:9" ht="15.75" thickBot="1">
      <c r="A767" s="142"/>
      <c r="B767" s="142"/>
      <c r="C767" s="79"/>
      <c r="D767" s="79"/>
      <c r="G767" s="81"/>
      <c r="H767" s="52"/>
      <c r="I767" s="50"/>
    </row>
    <row r="768" spans="1:9" ht="106.5" customHeight="1" thickBot="1">
      <c r="A768" s="142">
        <v>96</v>
      </c>
      <c r="B768" s="142" t="s">
        <v>592</v>
      </c>
      <c r="C768" s="827" t="s">
        <v>774</v>
      </c>
      <c r="D768" s="828"/>
      <c r="E768" s="178">
        <v>4</v>
      </c>
      <c r="G768" s="822" t="s">
        <v>799</v>
      </c>
      <c r="H768" s="823"/>
      <c r="I768" s="824"/>
    </row>
    <row r="769" spans="1:9" ht="17.25" customHeight="1">
      <c r="A769" s="142"/>
      <c r="B769" s="142"/>
      <c r="C769" s="266">
        <v>4</v>
      </c>
      <c r="D769" s="442" t="s">
        <v>760</v>
      </c>
      <c r="E769" s="491"/>
      <c r="G769" s="644"/>
      <c r="H769" s="644"/>
      <c r="I769" s="644"/>
    </row>
    <row r="770" spans="1:9" ht="17.25" customHeight="1">
      <c r="A770" s="142"/>
      <c r="B770" s="142"/>
      <c r="C770" s="266">
        <v>3</v>
      </c>
      <c r="D770" s="442" t="s">
        <v>761</v>
      </c>
      <c r="E770" s="491"/>
      <c r="G770" s="644"/>
      <c r="H770" s="644"/>
      <c r="I770" s="644"/>
    </row>
    <row r="771" spans="1:9">
      <c r="A771" s="141"/>
      <c r="B771" s="141"/>
      <c r="C771" s="473">
        <v>2</v>
      </c>
      <c r="D771" s="402" t="s">
        <v>762</v>
      </c>
      <c r="E771" s="267"/>
      <c r="F771" s="50"/>
      <c r="G771" s="644"/>
      <c r="H771" s="644"/>
      <c r="I771" s="644"/>
    </row>
    <row r="772" spans="1:9">
      <c r="A772" s="141"/>
      <c r="B772" s="141"/>
      <c r="C772" s="310">
        <v>1</v>
      </c>
      <c r="D772" s="489" t="s">
        <v>763</v>
      </c>
      <c r="E772" s="251"/>
      <c r="F772" s="50"/>
      <c r="G772" s="643"/>
      <c r="H772" s="643"/>
      <c r="I772" s="643"/>
    </row>
    <row r="773" spans="1:9" ht="15.75" thickBot="1">
      <c r="A773" s="142"/>
      <c r="B773" s="142"/>
      <c r="C773" s="864" t="s">
        <v>90</v>
      </c>
      <c r="D773" s="865"/>
      <c r="E773" s="217">
        <f>IF(OR(E768&lt;1,E768&gt;4), "Salah Isi",E768)</f>
        <v>4</v>
      </c>
      <c r="G773" s="81"/>
      <c r="H773" s="52"/>
      <c r="I773" s="50"/>
    </row>
    <row r="774" spans="1:9" ht="15.75" thickBot="1">
      <c r="A774" s="142"/>
      <c r="B774" s="142"/>
      <c r="C774" s="79"/>
      <c r="D774" s="79"/>
      <c r="G774" s="81"/>
      <c r="H774" s="52"/>
      <c r="I774" s="50"/>
    </row>
    <row r="775" spans="1:9" ht="82.5" customHeight="1" thickBot="1">
      <c r="A775" s="141">
        <v>97</v>
      </c>
      <c r="B775" s="141" t="s">
        <v>64</v>
      </c>
      <c r="C775" s="860" t="s">
        <v>887</v>
      </c>
      <c r="D775" s="861"/>
      <c r="E775" s="178">
        <v>4</v>
      </c>
      <c r="G775" s="822" t="s">
        <v>784</v>
      </c>
      <c r="H775" s="823"/>
      <c r="I775" s="824"/>
    </row>
    <row r="776" spans="1:9" ht="25.5">
      <c r="A776" s="142"/>
      <c r="B776" s="142"/>
      <c r="C776" s="90">
        <v>4</v>
      </c>
      <c r="D776" s="285" t="s">
        <v>776</v>
      </c>
      <c r="E776" s="453"/>
      <c r="F776" s="50"/>
      <c r="G776" s="82"/>
    </row>
    <row r="777" spans="1:9">
      <c r="A777" s="141"/>
      <c r="B777" s="141"/>
      <c r="C777" s="90">
        <v>3</v>
      </c>
      <c r="D777" s="285" t="s">
        <v>777</v>
      </c>
      <c r="E777" s="279"/>
      <c r="F777" s="50"/>
      <c r="G777" s="82"/>
    </row>
    <row r="778" spans="1:9">
      <c r="A778" s="141"/>
      <c r="B778" s="141"/>
      <c r="C778" s="90">
        <v>2</v>
      </c>
      <c r="D778" s="285" t="s">
        <v>778</v>
      </c>
      <c r="E778" s="279"/>
      <c r="F778" s="50"/>
      <c r="G778" s="82"/>
    </row>
    <row r="779" spans="1:9">
      <c r="A779" s="141"/>
      <c r="B779" s="141"/>
      <c r="C779" s="90">
        <v>1</v>
      </c>
      <c r="D779" s="226" t="s">
        <v>775</v>
      </c>
      <c r="E779" s="400"/>
      <c r="F779" s="50"/>
      <c r="G779" s="82"/>
    </row>
    <row r="780" spans="1:9" ht="15.75" thickBot="1">
      <c r="A780" s="141"/>
      <c r="B780" s="141"/>
      <c r="C780" s="962" t="s">
        <v>90</v>
      </c>
      <c r="D780" s="963"/>
      <c r="E780" s="217">
        <f>IF(OR(E775&lt;1,E775&gt;4), "Salah Isi",E775)</f>
        <v>4</v>
      </c>
      <c r="F780" s="56"/>
      <c r="G780" s="82"/>
    </row>
    <row r="781" spans="1:9" ht="15.75" thickBot="1">
      <c r="A781" s="141"/>
      <c r="B781" s="141"/>
      <c r="C781" s="89"/>
      <c r="D781" s="89"/>
      <c r="E781" s="50"/>
      <c r="F781" s="50"/>
      <c r="G781" s="82"/>
    </row>
    <row r="782" spans="1:9" ht="54" customHeight="1" thickBot="1">
      <c r="A782" s="141">
        <v>98</v>
      </c>
      <c r="B782" s="141" t="s">
        <v>65</v>
      </c>
      <c r="C782" s="839" t="s">
        <v>787</v>
      </c>
      <c r="D782" s="840"/>
      <c r="E782" s="178">
        <v>4</v>
      </c>
      <c r="F782" s="50"/>
      <c r="G782" s="822" t="s">
        <v>785</v>
      </c>
      <c r="H782" s="823"/>
      <c r="I782" s="824"/>
    </row>
    <row r="783" spans="1:9" ht="27.75" customHeight="1">
      <c r="A783" s="141"/>
      <c r="B783" s="141"/>
      <c r="C783" s="253">
        <v>4</v>
      </c>
      <c r="D783" s="252" t="s">
        <v>779</v>
      </c>
      <c r="E783" s="491"/>
      <c r="F783" s="50"/>
      <c r="G783" s="643"/>
      <c r="H783" s="643"/>
      <c r="I783" s="643"/>
    </row>
    <row r="784" spans="1:9" ht="28.5" customHeight="1">
      <c r="A784" s="141"/>
      <c r="B784" s="141"/>
      <c r="C784" s="253">
        <v>3</v>
      </c>
      <c r="D784" s="252" t="s">
        <v>780</v>
      </c>
      <c r="E784" s="491"/>
      <c r="F784" s="50"/>
      <c r="G784" s="643"/>
      <c r="H784" s="643"/>
      <c r="I784" s="643"/>
    </row>
    <row r="785" spans="1:9" ht="28.5" customHeight="1">
      <c r="A785"/>
      <c r="B785"/>
      <c r="C785" s="478">
        <v>2</v>
      </c>
      <c r="D785" s="276" t="s">
        <v>781</v>
      </c>
      <c r="E785" s="306"/>
      <c r="F785" s="50"/>
      <c r="G785" s="50"/>
      <c r="H785" s="52"/>
      <c r="I785" s="50"/>
    </row>
    <row r="786" spans="1:9" ht="15.75" customHeight="1">
      <c r="A786"/>
      <c r="B786"/>
      <c r="C786" s="478">
        <v>1</v>
      </c>
      <c r="D786" s="276" t="s">
        <v>782</v>
      </c>
      <c r="E786" s="306"/>
      <c r="F786" s="50"/>
      <c r="G786" s="50"/>
      <c r="H786" s="52"/>
      <c r="I786" s="50"/>
    </row>
    <row r="787" spans="1:9" ht="15.75" customHeight="1">
      <c r="A787"/>
      <c r="B787"/>
      <c r="C787" s="478">
        <v>0</v>
      </c>
      <c r="D787" s="276" t="s">
        <v>783</v>
      </c>
      <c r="E787" s="306"/>
      <c r="F787" s="50"/>
      <c r="G787" s="50"/>
      <c r="H787" s="52"/>
      <c r="I787" s="50"/>
    </row>
    <row r="788" spans="1:9" ht="15.75" thickBot="1">
      <c r="A788" s="141"/>
      <c r="B788" s="141"/>
      <c r="C788" s="837" t="s">
        <v>90</v>
      </c>
      <c r="D788" s="838"/>
      <c r="E788" s="217">
        <f>IF(OR(E782&lt;0,E782&gt;4), "Salah Isi",E782)</f>
        <v>4</v>
      </c>
      <c r="F788" s="56"/>
      <c r="G788" s="81"/>
      <c r="H788" s="52"/>
      <c r="I788" s="50"/>
    </row>
    <row r="789" spans="1:9" ht="15.75" thickBot="1">
      <c r="A789" s="141"/>
      <c r="B789" s="141"/>
      <c r="C789" s="89"/>
      <c r="D789" s="89"/>
      <c r="E789" s="50"/>
      <c r="F789" s="50"/>
      <c r="G789" s="81"/>
      <c r="H789" s="52"/>
      <c r="I789" s="50"/>
    </row>
    <row r="790" spans="1:9" ht="41.25" customHeight="1">
      <c r="A790" s="142">
        <v>99</v>
      </c>
      <c r="B790" s="142" t="s">
        <v>35</v>
      </c>
      <c r="C790" s="827" t="s">
        <v>786</v>
      </c>
      <c r="D790" s="828"/>
      <c r="E790" s="178">
        <v>3</v>
      </c>
      <c r="G790" s="790" t="s">
        <v>164</v>
      </c>
      <c r="H790" s="791"/>
      <c r="I790" s="792"/>
    </row>
    <row r="791" spans="1:9" ht="27.75" customHeight="1" thickBot="1">
      <c r="A791" s="142"/>
      <c r="B791" s="142"/>
      <c r="C791" s="266">
        <v>4</v>
      </c>
      <c r="D791" s="442" t="s">
        <v>788</v>
      </c>
      <c r="E791" s="251"/>
      <c r="G791" s="793"/>
      <c r="H791" s="794"/>
      <c r="I791" s="795"/>
    </row>
    <row r="792" spans="1:9" ht="27.75" customHeight="1">
      <c r="A792" s="142"/>
      <c r="B792" s="142"/>
      <c r="C792" s="266">
        <v>3</v>
      </c>
      <c r="D792" s="442" t="s">
        <v>789</v>
      </c>
      <c r="E792" s="251"/>
      <c r="G792" s="644"/>
      <c r="H792" s="644"/>
      <c r="I792" s="644"/>
    </row>
    <row r="793" spans="1:9" ht="27.75" customHeight="1">
      <c r="A793" s="142"/>
      <c r="B793" s="142"/>
      <c r="C793" s="266">
        <v>2</v>
      </c>
      <c r="D793" s="442" t="s">
        <v>790</v>
      </c>
      <c r="E793" s="251"/>
      <c r="G793" s="644"/>
      <c r="H793" s="644"/>
      <c r="I793" s="644"/>
    </row>
    <row r="794" spans="1:9" ht="17.25" customHeight="1">
      <c r="A794" s="142"/>
      <c r="B794" s="142"/>
      <c r="C794" s="266">
        <v>1</v>
      </c>
      <c r="D794" s="442" t="s">
        <v>791</v>
      </c>
      <c r="E794" s="251"/>
      <c r="G794" s="644"/>
      <c r="H794" s="644"/>
      <c r="I794" s="644"/>
    </row>
    <row r="795" spans="1:9" ht="17.25" customHeight="1">
      <c r="A795" s="142"/>
      <c r="B795" s="142"/>
      <c r="C795" s="266">
        <v>0</v>
      </c>
      <c r="D795" s="442" t="s">
        <v>792</v>
      </c>
      <c r="E795" s="251"/>
      <c r="G795" s="644"/>
      <c r="H795" s="644"/>
      <c r="I795" s="644"/>
    </row>
    <row r="796" spans="1:9" ht="15.75" thickBot="1">
      <c r="A796" s="142"/>
      <c r="B796" s="490"/>
      <c r="C796" s="837" t="s">
        <v>90</v>
      </c>
      <c r="D796" s="838"/>
      <c r="E796" s="217">
        <f>IF(OR(E790&lt;0,E790&gt;4), "Salah Isi",E790)</f>
        <v>3</v>
      </c>
      <c r="G796" s="644"/>
      <c r="H796" s="644"/>
      <c r="I796" s="644"/>
    </row>
    <row r="797" spans="1:9" ht="15.75" thickBot="1">
      <c r="A797" s="142"/>
      <c r="B797" s="142"/>
      <c r="C797" s="79"/>
      <c r="D797" s="79"/>
      <c r="G797" s="81"/>
      <c r="H797" s="52"/>
      <c r="I797" s="50"/>
    </row>
    <row r="798" spans="1:9" ht="21.75" customHeight="1">
      <c r="A798" s="142">
        <v>100</v>
      </c>
      <c r="B798" s="7" t="s">
        <v>593</v>
      </c>
      <c r="C798" s="825" t="s">
        <v>793</v>
      </c>
      <c r="D798" s="868"/>
      <c r="E798" s="178">
        <v>2.5</v>
      </c>
      <c r="G798" s="790" t="s">
        <v>798</v>
      </c>
      <c r="H798" s="791"/>
      <c r="I798" s="792"/>
    </row>
    <row r="799" spans="1:9" ht="38.25" customHeight="1" thickBot="1">
      <c r="A799" s="142"/>
      <c r="B799" s="7"/>
      <c r="C799" s="266">
        <v>4</v>
      </c>
      <c r="D799" s="459" t="s">
        <v>794</v>
      </c>
      <c r="E799" s="492"/>
      <c r="G799" s="793"/>
      <c r="H799" s="794"/>
      <c r="I799" s="795"/>
    </row>
    <row r="800" spans="1:9" ht="42.75" customHeight="1">
      <c r="A800" s="142"/>
      <c r="B800" s="7"/>
      <c r="C800" s="266">
        <v>3</v>
      </c>
      <c r="D800" s="459" t="s">
        <v>795</v>
      </c>
      <c r="E800" s="492"/>
      <c r="G800" s="644"/>
      <c r="H800" s="644"/>
      <c r="I800" s="644"/>
    </row>
    <row r="801" spans="1:9" ht="45.75" customHeight="1">
      <c r="A801" s="142"/>
      <c r="B801" s="7"/>
      <c r="C801" s="266">
        <v>2</v>
      </c>
      <c r="D801" s="459" t="s">
        <v>796</v>
      </c>
      <c r="E801" s="492"/>
      <c r="G801" s="644"/>
      <c r="H801" s="644"/>
      <c r="I801" s="644"/>
    </row>
    <row r="802" spans="1:9" ht="30.75" customHeight="1">
      <c r="A802" s="142"/>
      <c r="B802" s="7"/>
      <c r="C802" s="266">
        <v>1</v>
      </c>
      <c r="D802" s="459" t="s">
        <v>797</v>
      </c>
      <c r="E802" s="492"/>
      <c r="G802" s="644"/>
      <c r="H802" s="644"/>
      <c r="I802" s="644"/>
    </row>
    <row r="803" spans="1:9" ht="15.75" thickBot="1">
      <c r="A803" s="142"/>
      <c r="B803" s="142"/>
      <c r="C803" s="837" t="s">
        <v>90</v>
      </c>
      <c r="D803" s="838"/>
      <c r="E803" s="217">
        <f>IF(OR(E798&lt;1,E798&gt;4), "Salah Isi",E798)</f>
        <v>2.5</v>
      </c>
      <c r="G803" s="644"/>
      <c r="H803" s="644"/>
      <c r="I803" s="644"/>
    </row>
    <row r="804" spans="1:9" ht="15.75" thickBot="1">
      <c r="G804" s="52"/>
      <c r="H804" s="52"/>
      <c r="I804" s="50"/>
    </row>
    <row r="805" spans="1:9" ht="20.25" customHeight="1">
      <c r="A805" s="7">
        <v>101</v>
      </c>
      <c r="B805" s="7" t="s">
        <v>575</v>
      </c>
      <c r="C805" s="851" t="s">
        <v>800</v>
      </c>
      <c r="D805" s="852"/>
      <c r="E805" s="178">
        <v>3</v>
      </c>
      <c r="G805" s="790" t="s">
        <v>798</v>
      </c>
      <c r="H805" s="791"/>
      <c r="I805" s="792"/>
    </row>
    <row r="806" spans="1:9" ht="40.5" customHeight="1" thickBot="1">
      <c r="C806" s="493">
        <v>4</v>
      </c>
      <c r="D806" s="276" t="s">
        <v>801</v>
      </c>
      <c r="E806" s="494"/>
      <c r="G806" s="793"/>
      <c r="H806" s="794"/>
      <c r="I806" s="795"/>
    </row>
    <row r="807" spans="1:9" ht="39.75" customHeight="1">
      <c r="C807" s="493">
        <v>3</v>
      </c>
      <c r="D807" s="276" t="s">
        <v>802</v>
      </c>
      <c r="E807" s="495"/>
    </row>
    <row r="808" spans="1:9" ht="38.25">
      <c r="C808" s="493">
        <v>2</v>
      </c>
      <c r="D808" s="276" t="s">
        <v>803</v>
      </c>
      <c r="E808" s="495"/>
    </row>
    <row r="809" spans="1:9" ht="27" customHeight="1">
      <c r="C809" s="493">
        <v>1</v>
      </c>
      <c r="D809" s="276" t="s">
        <v>804</v>
      </c>
      <c r="E809" s="496"/>
    </row>
    <row r="810" spans="1:9" ht="15.75" thickBot="1">
      <c r="C810" s="853" t="s">
        <v>90</v>
      </c>
      <c r="D810" s="854"/>
      <c r="E810" s="217">
        <f>IF(OR(E805&lt;1,E805&gt;4), "Salah Isi",E805)</f>
        <v>3</v>
      </c>
    </row>
    <row r="811" spans="1:9">
      <c r="A811" s="52"/>
      <c r="B811" s="52"/>
      <c r="C811" s="50"/>
      <c r="D811" s="50"/>
      <c r="E811" s="50"/>
      <c r="F811" s="50"/>
    </row>
    <row r="818" spans="1:6">
      <c r="A818" s="52"/>
      <c r="B818" s="52"/>
      <c r="C818" s="50"/>
      <c r="D818" s="50"/>
      <c r="E818" s="50"/>
      <c r="F818" s="50"/>
    </row>
  </sheetData>
  <sheetProtection sheet="1" objects="1" scenarios="1" formatColumns="0" formatRows="0" selectLockedCells="1"/>
  <mergeCells count="371">
    <mergeCell ref="G596:I597"/>
    <mergeCell ref="G603:I603"/>
    <mergeCell ref="C678:D678"/>
    <mergeCell ref="C601:D601"/>
    <mergeCell ref="C603:D603"/>
    <mergeCell ref="C664:D664"/>
    <mergeCell ref="C641:D641"/>
    <mergeCell ref="C626:D626"/>
    <mergeCell ref="C632:D632"/>
    <mergeCell ref="C631:D631"/>
    <mergeCell ref="C657:D657"/>
    <mergeCell ref="C635:D635"/>
    <mergeCell ref="C662:D662"/>
    <mergeCell ref="C565:D565"/>
    <mergeCell ref="C549:D549"/>
    <mergeCell ref="G581:I581"/>
    <mergeCell ref="G588:I588"/>
    <mergeCell ref="C671:D671"/>
    <mergeCell ref="C616:D616"/>
    <mergeCell ref="C643:D643"/>
    <mergeCell ref="C655:D655"/>
    <mergeCell ref="C648:D648"/>
    <mergeCell ref="C650:D650"/>
    <mergeCell ref="C554:D554"/>
    <mergeCell ref="C571:D571"/>
    <mergeCell ref="C569:D569"/>
    <mergeCell ref="C573:D573"/>
    <mergeCell ref="C594:D594"/>
    <mergeCell ref="C581:D581"/>
    <mergeCell ref="C575:D575"/>
    <mergeCell ref="C570:D570"/>
    <mergeCell ref="C574:D574"/>
    <mergeCell ref="C578:D578"/>
    <mergeCell ref="C611:D611"/>
    <mergeCell ref="C609:D609"/>
    <mergeCell ref="C596:D596"/>
    <mergeCell ref="C669:D669"/>
    <mergeCell ref="G478:I479"/>
    <mergeCell ref="G570:I571"/>
    <mergeCell ref="C567:D567"/>
    <mergeCell ref="C588:D588"/>
    <mergeCell ref="C577:D577"/>
    <mergeCell ref="C564:D564"/>
    <mergeCell ref="C633:D633"/>
    <mergeCell ref="C624:D624"/>
    <mergeCell ref="C618:D618"/>
    <mergeCell ref="C579:D579"/>
    <mergeCell ref="C586:D586"/>
    <mergeCell ref="C534:D534"/>
    <mergeCell ref="C539:D539"/>
    <mergeCell ref="C511:D511"/>
    <mergeCell ref="C532:D532"/>
    <mergeCell ref="C561:D561"/>
    <mergeCell ref="G556:I557"/>
    <mergeCell ref="G569:I569"/>
    <mergeCell ref="C566:D566"/>
    <mergeCell ref="G577:I577"/>
    <mergeCell ref="C556:D556"/>
    <mergeCell ref="C563:D563"/>
    <mergeCell ref="G573:I573"/>
    <mergeCell ref="C547:D547"/>
    <mergeCell ref="C443:D443"/>
    <mergeCell ref="C448:D448"/>
    <mergeCell ref="C457:D457"/>
    <mergeCell ref="C518:D518"/>
    <mergeCell ref="C504:D504"/>
    <mergeCell ref="C471:D471"/>
    <mergeCell ref="C478:D478"/>
    <mergeCell ref="C506:D506"/>
    <mergeCell ref="C527:D527"/>
    <mergeCell ref="C513:D513"/>
    <mergeCell ref="C520:D520"/>
    <mergeCell ref="C525:D525"/>
    <mergeCell ref="C469:D469"/>
    <mergeCell ref="C476:D476"/>
    <mergeCell ref="C450:D450"/>
    <mergeCell ref="C458:D458"/>
    <mergeCell ref="C459:D459"/>
    <mergeCell ref="C460:D460"/>
    <mergeCell ref="C499:D499"/>
    <mergeCell ref="C497:D497"/>
    <mergeCell ref="C463:D463"/>
    <mergeCell ref="C455:D455"/>
    <mergeCell ref="C461:D461"/>
    <mergeCell ref="C490:D490"/>
    <mergeCell ref="C697:D697"/>
    <mergeCell ref="C694:D694"/>
    <mergeCell ref="C689:D689"/>
    <mergeCell ref="C711:D711"/>
    <mergeCell ref="G738:I738"/>
    <mergeCell ref="G611:I613"/>
    <mergeCell ref="G618:I619"/>
    <mergeCell ref="G635:I635"/>
    <mergeCell ref="G643:I643"/>
    <mergeCell ref="G671:I672"/>
    <mergeCell ref="G704:I704"/>
    <mergeCell ref="G685:I685"/>
    <mergeCell ref="G626:I626"/>
    <mergeCell ref="G650:I650"/>
    <mergeCell ref="G657:I658"/>
    <mergeCell ref="G664:I664"/>
    <mergeCell ref="G697:I697"/>
    <mergeCell ref="G689:I689"/>
    <mergeCell ref="C686:D686"/>
    <mergeCell ref="G678:I678"/>
    <mergeCell ref="C685:D685"/>
    <mergeCell ref="C676:D676"/>
    <mergeCell ref="C683:D683"/>
    <mergeCell ref="C796:D796"/>
    <mergeCell ref="C738:D738"/>
    <mergeCell ref="C746:D746"/>
    <mergeCell ref="C788:D788"/>
    <mergeCell ref="C790:D790"/>
    <mergeCell ref="C704:D704"/>
    <mergeCell ref="C719:D719"/>
    <mergeCell ref="C717:D717"/>
    <mergeCell ref="C732:D732"/>
    <mergeCell ref="C709:D709"/>
    <mergeCell ref="C758:D758"/>
    <mergeCell ref="C782:D782"/>
    <mergeCell ref="C736:D736"/>
    <mergeCell ref="C744:D744"/>
    <mergeCell ref="C780:D780"/>
    <mergeCell ref="G3:I3"/>
    <mergeCell ref="G19:I19"/>
    <mergeCell ref="C5:D5"/>
    <mergeCell ref="C6:D6"/>
    <mergeCell ref="C7:D7"/>
    <mergeCell ref="C8:D8"/>
    <mergeCell ref="G26:I26"/>
    <mergeCell ref="G33:I33"/>
    <mergeCell ref="C12:D12"/>
    <mergeCell ref="C14:D14"/>
    <mergeCell ref="C4:D4"/>
    <mergeCell ref="C19:D19"/>
    <mergeCell ref="G4:I4"/>
    <mergeCell ref="C3:D3"/>
    <mergeCell ref="C9:D9"/>
    <mergeCell ref="N83:P83"/>
    <mergeCell ref="C46:D46"/>
    <mergeCell ref="C54:D54"/>
    <mergeCell ref="C61:D61"/>
    <mergeCell ref="C68:D68"/>
    <mergeCell ref="C75:D75"/>
    <mergeCell ref="C77:D77"/>
    <mergeCell ref="G77:I77"/>
    <mergeCell ref="C10:D10"/>
    <mergeCell ref="G41:I41"/>
    <mergeCell ref="G63:I63"/>
    <mergeCell ref="G12:I12"/>
    <mergeCell ref="G42:I42"/>
    <mergeCell ref="G56:I56"/>
    <mergeCell ref="G48:I48"/>
    <mergeCell ref="C16:D16"/>
    <mergeCell ref="C56:D56"/>
    <mergeCell ref="C33:D33"/>
    <mergeCell ref="C48:D48"/>
    <mergeCell ref="C41:D41"/>
    <mergeCell ref="G416:I416"/>
    <mergeCell ref="G374:I374"/>
    <mergeCell ref="G368:I368"/>
    <mergeCell ref="C425:D425"/>
    <mergeCell ref="C424:D424"/>
    <mergeCell ref="C417:D417"/>
    <mergeCell ref="C423:D423"/>
    <mergeCell ref="C310:D310"/>
    <mergeCell ref="C389:D389"/>
    <mergeCell ref="G406:I407"/>
    <mergeCell ref="G405:I405"/>
    <mergeCell ref="G412:I413"/>
    <mergeCell ref="G417:I418"/>
    <mergeCell ref="C433:D433"/>
    <mergeCell ref="C441:D441"/>
    <mergeCell ref="C340:D340"/>
    <mergeCell ref="C366:D366"/>
    <mergeCell ref="C368:D368"/>
    <mergeCell ref="C440:D440"/>
    <mergeCell ref="C413:D413"/>
    <mergeCell ref="C416:D416"/>
    <mergeCell ref="C422:D422"/>
    <mergeCell ref="C436:D436"/>
    <mergeCell ref="C434:D434"/>
    <mergeCell ref="C426:D426"/>
    <mergeCell ref="C419:D419"/>
    <mergeCell ref="C428:D428"/>
    <mergeCell ref="C420:D420"/>
    <mergeCell ref="C403:D403"/>
    <mergeCell ref="C405:D405"/>
    <mergeCell ref="C408:D408"/>
    <mergeCell ref="C409:D409"/>
    <mergeCell ref="G91:I91"/>
    <mergeCell ref="G70:I71"/>
    <mergeCell ref="G84:I84"/>
    <mergeCell ref="C82:D82"/>
    <mergeCell ref="C89:D89"/>
    <mergeCell ref="C24:D24"/>
    <mergeCell ref="G361:I362"/>
    <mergeCell ref="G389:I389"/>
    <mergeCell ref="G397:I398"/>
    <mergeCell ref="G287:I287"/>
    <mergeCell ref="C320:D320"/>
    <mergeCell ref="C330:D330"/>
    <mergeCell ref="C350:D350"/>
    <mergeCell ref="C287:D287"/>
    <mergeCell ref="C283:D283"/>
    <mergeCell ref="C282:D282"/>
    <mergeCell ref="C285:D285"/>
    <mergeCell ref="C300:D300"/>
    <mergeCell ref="C290:D290"/>
    <mergeCell ref="C395:D395"/>
    <mergeCell ref="C397:D397"/>
    <mergeCell ref="C374:D374"/>
    <mergeCell ref="C175:D175"/>
    <mergeCell ref="G105:I105"/>
    <mergeCell ref="A1:I1"/>
    <mergeCell ref="A2:I2"/>
    <mergeCell ref="C219:D219"/>
    <mergeCell ref="C39:D39"/>
    <mergeCell ref="C84:D84"/>
    <mergeCell ref="G171:I171"/>
    <mergeCell ref="C153:D153"/>
    <mergeCell ref="C136:D136"/>
    <mergeCell ref="G219:I219"/>
    <mergeCell ref="G112:I113"/>
    <mergeCell ref="C70:D70"/>
    <mergeCell ref="C15:D15"/>
    <mergeCell ref="C17:D17"/>
    <mergeCell ref="C31:D31"/>
    <mergeCell ref="C63:D63"/>
    <mergeCell ref="C13:D13"/>
    <mergeCell ref="C26:D26"/>
    <mergeCell ref="G98:I99"/>
    <mergeCell ref="C91:D91"/>
    <mergeCell ref="C98:D98"/>
    <mergeCell ref="C189:D189"/>
    <mergeCell ref="C151:D151"/>
    <mergeCell ref="C103:D103"/>
    <mergeCell ref="C128:D128"/>
    <mergeCell ref="G137:I139"/>
    <mergeCell ref="C187:D187"/>
    <mergeCell ref="C105:D105"/>
    <mergeCell ref="C118:D118"/>
    <mergeCell ref="C120:D120"/>
    <mergeCell ref="C167:D167"/>
    <mergeCell ref="C183:D183"/>
    <mergeCell ref="C181:D181"/>
    <mergeCell ref="C110:D110"/>
    <mergeCell ref="C112:D112"/>
    <mergeCell ref="C146:D146"/>
    <mergeCell ref="C169:D169"/>
    <mergeCell ref="C177:D177"/>
    <mergeCell ref="C171:D171"/>
    <mergeCell ref="C165:D165"/>
    <mergeCell ref="G153:I153"/>
    <mergeCell ref="N198:O198"/>
    <mergeCell ref="G212:I212"/>
    <mergeCell ref="G204:I204"/>
    <mergeCell ref="G136:I136"/>
    <mergeCell ref="C126:D126"/>
    <mergeCell ref="C96:D96"/>
    <mergeCell ref="N197:O197"/>
    <mergeCell ref="C196:D196"/>
    <mergeCell ref="C194:D194"/>
    <mergeCell ref="C202:D202"/>
    <mergeCell ref="C160:D160"/>
    <mergeCell ref="C134:D134"/>
    <mergeCell ref="G168:I168"/>
    <mergeCell ref="G172:I173"/>
    <mergeCell ref="G178:I179"/>
    <mergeCell ref="G184:I185"/>
    <mergeCell ref="C204:D204"/>
    <mergeCell ref="C212:D212"/>
    <mergeCell ref="C210:D210"/>
    <mergeCell ref="G128:I128"/>
    <mergeCell ref="G120:I120"/>
    <mergeCell ref="G146:I146"/>
    <mergeCell ref="C143:D143"/>
    <mergeCell ref="C144:D144"/>
    <mergeCell ref="G234:I234"/>
    <mergeCell ref="G242:I242"/>
    <mergeCell ref="G226:I226"/>
    <mergeCell ref="C158:D158"/>
    <mergeCell ref="C382:D382"/>
    <mergeCell ref="G382:I383"/>
    <mergeCell ref="C380:D380"/>
    <mergeCell ref="G183:I183"/>
    <mergeCell ref="G189:I189"/>
    <mergeCell ref="G196:I196"/>
    <mergeCell ref="G167:I167"/>
    <mergeCell ref="G160:I160"/>
    <mergeCell ref="G267:I267"/>
    <mergeCell ref="G285:I285"/>
    <mergeCell ref="C226:D226"/>
    <mergeCell ref="C224:D224"/>
    <mergeCell ref="C232:D232"/>
    <mergeCell ref="C264:D264"/>
    <mergeCell ref="G227:I228"/>
    <mergeCell ref="G369:I370"/>
    <mergeCell ref="G177:I177"/>
    <mergeCell ref="G443:I443"/>
    <mergeCell ref="G450:I450"/>
    <mergeCell ref="G798:I799"/>
    <mergeCell ref="C805:D805"/>
    <mergeCell ref="C810:D810"/>
    <mergeCell ref="G805:I806"/>
    <mergeCell ref="C730:D730"/>
    <mergeCell ref="G746:I746"/>
    <mergeCell ref="C753:D753"/>
    <mergeCell ref="G753:I754"/>
    <mergeCell ref="C768:D768"/>
    <mergeCell ref="G768:I768"/>
    <mergeCell ref="C760:D760"/>
    <mergeCell ref="G775:I775"/>
    <mergeCell ref="G782:I782"/>
    <mergeCell ref="C751:D751"/>
    <mergeCell ref="C775:D775"/>
    <mergeCell ref="C766:D766"/>
    <mergeCell ref="C773:D773"/>
    <mergeCell ref="C803:D803"/>
    <mergeCell ref="G790:I791"/>
    <mergeCell ref="C687:D687"/>
    <mergeCell ref="C695:D695"/>
    <mergeCell ref="C798:D798"/>
    <mergeCell ref="G541:I542"/>
    <mergeCell ref="G485:I486"/>
    <mergeCell ref="C492:D492"/>
    <mergeCell ref="G411:I411"/>
    <mergeCell ref="C485:D485"/>
    <mergeCell ref="C231:D231"/>
    <mergeCell ref="C234:D234"/>
    <mergeCell ref="C240:D240"/>
    <mergeCell ref="C265:D265"/>
    <mergeCell ref="C483:D483"/>
    <mergeCell ref="C541:D541"/>
    <mergeCell ref="C242:D242"/>
    <mergeCell ref="C418:D418"/>
    <mergeCell ref="C267:D267"/>
    <mergeCell ref="C361:D361"/>
    <mergeCell ref="C411:D411"/>
    <mergeCell ref="C414:D414"/>
    <mergeCell ref="G422:I422"/>
    <mergeCell ref="G423:I424"/>
    <mergeCell ref="G428:I428"/>
    <mergeCell ref="G429:I430"/>
    <mergeCell ref="G436:I436"/>
    <mergeCell ref="G437:I438"/>
    <mergeCell ref="G458:I459"/>
    <mergeCell ref="G463:I464"/>
    <mergeCell ref="G457:I457"/>
    <mergeCell ref="G733:I734"/>
    <mergeCell ref="G739:I740"/>
    <mergeCell ref="G760:I760"/>
    <mergeCell ref="G761:I762"/>
    <mergeCell ref="G574:I575"/>
    <mergeCell ref="G578:I579"/>
    <mergeCell ref="G711:I711"/>
    <mergeCell ref="G712:I713"/>
    <mergeCell ref="G725:I726"/>
    <mergeCell ref="G719:I724"/>
    <mergeCell ref="G732:I732"/>
    <mergeCell ref="G563:I563"/>
    <mergeCell ref="G564:I565"/>
    <mergeCell ref="G549:I550"/>
    <mergeCell ref="G513:I514"/>
    <mergeCell ref="G527:I528"/>
    <mergeCell ref="G534:I535"/>
    <mergeCell ref="G471:I472"/>
    <mergeCell ref="G492:I493"/>
    <mergeCell ref="G499:I500"/>
    <mergeCell ref="G506:I507"/>
    <mergeCell ref="G520:I520"/>
  </mergeCells>
  <phoneticPr fontId="35" type="noConversion"/>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I59"/>
  <sheetViews>
    <sheetView topLeftCell="A31" workbookViewId="0">
      <selection activeCell="F9" sqref="F9"/>
    </sheetView>
  </sheetViews>
  <sheetFormatPr defaultRowHeight="15"/>
  <cols>
    <col min="1" max="1" width="6.5703125" style="3" customWidth="1"/>
    <col min="2" max="2" width="26.5703125" style="711" customWidth="1"/>
    <col min="3" max="3" width="38" style="712" customWidth="1"/>
    <col min="4" max="4" width="7.7109375" style="713" customWidth="1"/>
    <col min="5" max="5" width="8.7109375" style="713" customWidth="1"/>
    <col min="7" max="7" width="13.140625" customWidth="1"/>
  </cols>
  <sheetData>
    <row r="1" spans="1:9" ht="33.75" customHeight="1">
      <c r="A1" s="997" t="s">
        <v>885</v>
      </c>
      <c r="B1" s="997"/>
      <c r="C1" s="997"/>
      <c r="D1" s="997"/>
      <c r="E1" s="997"/>
      <c r="F1" s="551"/>
      <c r="G1" s="551"/>
      <c r="I1" s="228"/>
    </row>
    <row r="2" spans="1:9">
      <c r="A2" s="64"/>
      <c r="B2" s="685"/>
      <c r="C2" s="686"/>
      <c r="D2" s="69"/>
      <c r="E2" s="69"/>
      <c r="F2" s="61"/>
      <c r="G2" s="61"/>
    </row>
    <row r="3" spans="1:9" ht="15.75" customHeight="1">
      <c r="A3" s="787" t="s">
        <v>882</v>
      </c>
      <c r="B3" s="787"/>
      <c r="C3" s="998" t="str">
        <f>'F1'!D5</f>
        <v>Nama Perguruan Tinggi</v>
      </c>
      <c r="D3" s="998"/>
      <c r="E3" s="998"/>
      <c r="F3" s="714"/>
      <c r="G3" s="76"/>
    </row>
    <row r="4" spans="1:9" ht="15.75" customHeight="1">
      <c r="A4" s="787" t="s">
        <v>883</v>
      </c>
      <c r="B4" s="787"/>
      <c r="C4" s="998" t="str">
        <f>'F1'!D6</f>
        <v>Nama Asesor</v>
      </c>
      <c r="D4" s="998"/>
      <c r="E4" s="998"/>
      <c r="F4" s="714"/>
      <c r="G4" s="76"/>
    </row>
    <row r="5" spans="1:9" ht="15.75" customHeight="1">
      <c r="A5" s="787" t="s">
        <v>884</v>
      </c>
      <c r="B5" s="787"/>
      <c r="C5" s="687" t="str">
        <f>'F1'!D7</f>
        <v>P019</v>
      </c>
      <c r="D5" s="688"/>
      <c r="E5" s="688"/>
      <c r="F5" s="76"/>
      <c r="G5" s="76"/>
    </row>
    <row r="6" spans="1:9" ht="15.75" customHeight="1">
      <c r="A6" s="787" t="s">
        <v>40</v>
      </c>
      <c r="B6" s="787"/>
      <c r="C6" s="687" t="str">
        <f>'F1'!D8</f>
        <v>16-18 April 2015</v>
      </c>
      <c r="D6" s="688"/>
      <c r="E6" s="688"/>
      <c r="F6" s="76"/>
      <c r="G6" s="76"/>
    </row>
    <row r="7" spans="1:9" ht="15.75" customHeight="1" thickBot="1">
      <c r="A7" s="121"/>
      <c r="B7" s="689"/>
      <c r="C7" s="75"/>
      <c r="D7" s="69"/>
      <c r="E7" s="69"/>
      <c r="F7" s="61"/>
      <c r="G7" s="61"/>
    </row>
    <row r="8" spans="1:9" ht="35.25" customHeight="1" thickBot="1">
      <c r="A8" s="124" t="s">
        <v>41</v>
      </c>
      <c r="B8" s="542" t="s">
        <v>42</v>
      </c>
      <c r="C8" s="542" t="s">
        <v>889</v>
      </c>
      <c r="D8" s="542" t="s">
        <v>44</v>
      </c>
      <c r="E8" s="543" t="s">
        <v>90</v>
      </c>
      <c r="F8" s="61"/>
      <c r="G8" s="77" t="s">
        <v>100</v>
      </c>
      <c r="H8" s="12"/>
      <c r="I8" s="12"/>
    </row>
    <row r="9" spans="1:9" ht="62.25" customHeight="1">
      <c r="A9" s="555">
        <v>1</v>
      </c>
      <c r="B9" s="544" t="str">
        <f>hitung_F2!C4</f>
        <v xml:space="preserve">Akurasi dan kelengkapan data serta informasi yang digunakan untuk menyusun laporan evaluasi-diri.
</v>
      </c>
      <c r="C9" s="545"/>
      <c r="D9" s="545"/>
      <c r="E9" s="545"/>
      <c r="F9" s="541"/>
      <c r="G9" s="540"/>
      <c r="H9" s="499"/>
      <c r="I9" s="499"/>
    </row>
    <row r="10" spans="1:9" ht="94.5" customHeight="1">
      <c r="A10" s="439" t="s">
        <v>102</v>
      </c>
      <c r="B10" s="186" t="str">
        <f>hitung_F2!C5</f>
        <v>Cara  perguruan tinggi mengemukakan fakta tentang situasi perguruan tinggi, pada semua komponen evaluasi-diri, a.l. kelengkapan data,  kurun waktu yang cukup, cross-reference.</v>
      </c>
      <c r="C10" s="196" t="str">
        <f>hitung_F2!G5</f>
        <v>bcvbc</v>
      </c>
      <c r="D10" s="552">
        <v>12.5</v>
      </c>
      <c r="E10" s="197">
        <f>hitung_F2!E10</f>
        <v>3.25</v>
      </c>
      <c r="F10" s="61"/>
      <c r="G10" s="72">
        <f>D10*E10</f>
        <v>40.625</v>
      </c>
      <c r="H10" s="737">
        <f>SUM(G10:G11)</f>
        <v>90.625</v>
      </c>
    </row>
    <row r="11" spans="1:9" ht="88.5" customHeight="1">
      <c r="A11" s="440" t="s">
        <v>101</v>
      </c>
      <c r="B11" s="190" t="str">
        <f>hitung_F2!C12</f>
        <v>Pengolahan data menjadi informasi yang bermanfaat, a.l. menggunakan metode-metode kuantitatif yang tepat, serta teknik representasi yang relevan.</v>
      </c>
      <c r="C11" s="191" t="str">
        <f>hitung_F2!G12</f>
        <v>dsass</v>
      </c>
      <c r="D11" s="553">
        <v>12.5</v>
      </c>
      <c r="E11" s="198">
        <f>hitung_F2!E17</f>
        <v>4</v>
      </c>
      <c r="F11" s="61"/>
      <c r="G11" s="72">
        <f t="shared" ref="G11:G23" si="0">D11*E11</f>
        <v>50</v>
      </c>
    </row>
    <row r="12" spans="1:9" ht="88.5" customHeight="1">
      <c r="A12" s="463">
        <v>2</v>
      </c>
      <c r="B12" s="536" t="str">
        <f>hitung_F2!C19</f>
        <v xml:space="preserve">Kualitas analisis yang digunakan untuk mengidentifikasi dan merumuskan masalah pada semua komponen evaluasi-diri.
</v>
      </c>
      <c r="C12" s="537"/>
      <c r="D12" s="554"/>
      <c r="E12" s="538"/>
      <c r="F12" s="541"/>
      <c r="G12" s="539"/>
    </row>
    <row r="13" spans="1:9" ht="51.75" customHeight="1">
      <c r="A13" s="534" t="s">
        <v>103</v>
      </c>
      <c r="B13" s="285" t="str">
        <f>hitung_F2!C20</f>
        <v>Identifikasi dan perumusan masalah dilakukan dengan baik</v>
      </c>
      <c r="C13" s="191" t="str">
        <f>hitung_F2!G20</f>
        <v>gdfgf</v>
      </c>
      <c r="D13" s="553">
        <v>7.5</v>
      </c>
      <c r="E13" s="198">
        <f>hitung_F2!E25</f>
        <v>3</v>
      </c>
      <c r="F13" s="61"/>
      <c r="G13" s="72">
        <f t="shared" si="0"/>
        <v>22.5</v>
      </c>
      <c r="H13" s="737">
        <f>SUM(G13:G16)</f>
        <v>90</v>
      </c>
    </row>
    <row r="14" spans="1:9" ht="66.75" customHeight="1">
      <c r="A14" s="535" t="s">
        <v>104</v>
      </c>
      <c r="B14" s="191" t="str">
        <f>hitung_F2!C27</f>
        <v>Ketepatan dalam melakukan appraisal, judgment, evaluasi, asesmen atas fakta tentang situasi di perguruan tinggi.</v>
      </c>
      <c r="C14" s="191" t="str">
        <f>hitung_F2!G27</f>
        <v>daas</v>
      </c>
      <c r="D14" s="553">
        <v>7.5</v>
      </c>
      <c r="E14" s="198">
        <f>hitung_F2!E32</f>
        <v>3</v>
      </c>
      <c r="F14" s="61"/>
      <c r="G14" s="72">
        <f t="shared" si="0"/>
        <v>22.5</v>
      </c>
    </row>
    <row r="15" spans="1:9" ht="50.25" customHeight="1">
      <c r="A15" s="535" t="s">
        <v>105</v>
      </c>
      <c r="B15" s="191" t="str">
        <f>hitung_F2!C34</f>
        <v>Permasalahan dan kelemahan yang ada dirumuskan dengan baik.</v>
      </c>
      <c r="C15" s="191" t="str">
        <f>hitung_F2!G34</f>
        <v>df</v>
      </c>
      <c r="D15" s="553">
        <v>7.5</v>
      </c>
      <c r="E15" s="198">
        <f>hitung_F2!E39</f>
        <v>3</v>
      </c>
      <c r="F15" s="76"/>
      <c r="G15" s="72">
        <f t="shared" si="0"/>
        <v>22.5</v>
      </c>
    </row>
    <row r="16" spans="1:9" ht="77.25" customHeight="1">
      <c r="A16" s="534" t="s">
        <v>106</v>
      </c>
      <c r="B16" s="191" t="str">
        <f>hitung_F2!C41</f>
        <v>Deskripsi/Analisis SWOT berkenaan dengan ketepatan penempatan aspek dalam komponen SWOT, tumpuan penekanan analisis.</v>
      </c>
      <c r="C16" s="191" t="str">
        <f>hitung_F2!G41</f>
        <v>fd</v>
      </c>
      <c r="D16" s="553">
        <v>7.5</v>
      </c>
      <c r="E16" s="198">
        <f>hitung_F2!E46</f>
        <v>3</v>
      </c>
      <c r="F16" s="61"/>
      <c r="G16" s="72">
        <f t="shared" si="0"/>
        <v>22.5</v>
      </c>
    </row>
    <row r="17" spans="1:8" ht="42" customHeight="1">
      <c r="A17" s="556">
        <v>3</v>
      </c>
      <c r="B17" s="536" t="str">
        <f>hitung_F2!C48</f>
        <v>Strategi pengembangan dan perbaikan program.</v>
      </c>
      <c r="C17" s="537"/>
      <c r="D17" s="554"/>
      <c r="E17" s="538"/>
      <c r="F17" s="61"/>
      <c r="G17" s="539"/>
    </row>
    <row r="18" spans="1:8" ht="69" customHeight="1">
      <c r="A18" s="534" t="s">
        <v>107</v>
      </c>
      <c r="B18" s="189" t="str">
        <f>hitung_F2!C49</f>
        <v xml:space="preserve">Ketepatan perguruan tinggi memilih/ menentukan rencana perbaikan  dari kekurangan yang ada. </v>
      </c>
      <c r="C18" s="191" t="str">
        <f>hitung_F2!G49</f>
        <v>dsf</v>
      </c>
      <c r="D18" s="553">
        <v>10</v>
      </c>
      <c r="E18" s="198">
        <f>hitung_F2!E54</f>
        <v>3</v>
      </c>
      <c r="F18" s="61"/>
      <c r="G18" s="72">
        <f t="shared" si="0"/>
        <v>30</v>
      </c>
      <c r="H18" s="737">
        <f>SUM(G18:G20)</f>
        <v>55</v>
      </c>
    </row>
    <row r="19" spans="1:8" ht="55.5" customHeight="1">
      <c r="A19" s="535" t="s">
        <v>108</v>
      </c>
      <c r="B19" s="191" t="str">
        <f>hitung_F2!C56</f>
        <v xml:space="preserve">Kejelasan perguruan tinggi menunjukkan cara untuk mengatasi masalah yang ada. </v>
      </c>
      <c r="C19" s="191" t="str">
        <f>hitung_F2!G56</f>
        <v>vcvx</v>
      </c>
      <c r="D19" s="553">
        <v>5</v>
      </c>
      <c r="E19" s="198">
        <f>hitung_F2!E61</f>
        <v>3</v>
      </c>
      <c r="F19" s="61"/>
      <c r="G19" s="72">
        <f t="shared" si="0"/>
        <v>15</v>
      </c>
    </row>
    <row r="20" spans="1:8" ht="47.25" customHeight="1">
      <c r="A20" s="535" t="s">
        <v>109</v>
      </c>
      <c r="B20" s="191" t="str">
        <f>hitung_F2!C63</f>
        <v xml:space="preserve">Kelayakan dan kerealistikan strategi dan sasaran yang ingin dicapai. </v>
      </c>
      <c r="C20" s="191" t="str">
        <f>hitung_F2!G63</f>
        <v>dsvfdsfs</v>
      </c>
      <c r="D20" s="553">
        <v>5</v>
      </c>
      <c r="E20" s="198">
        <f>hitung_F2!E68</f>
        <v>2</v>
      </c>
      <c r="F20" s="61"/>
      <c r="G20" s="72">
        <f t="shared" si="0"/>
        <v>10</v>
      </c>
    </row>
    <row r="21" spans="1:8" ht="51" customHeight="1">
      <c r="A21" s="557">
        <v>4</v>
      </c>
      <c r="B21" s="536" t="str">
        <f>hitung_F2!C70</f>
        <v>Keterpaduan dan keterkaitan antar komponen evaluasi-diri.</v>
      </c>
      <c r="C21" s="537"/>
      <c r="D21" s="554"/>
      <c r="E21" s="538"/>
      <c r="F21" s="61"/>
      <c r="G21" s="539"/>
    </row>
    <row r="22" spans="1:8" ht="42.75" customHeight="1">
      <c r="A22" s="535" t="s">
        <v>110</v>
      </c>
      <c r="B22" s="191" t="str">
        <f>hitung_F2!C71</f>
        <v>Komprehensif (dalam, luas dan terpadu).</v>
      </c>
      <c r="C22" s="191" t="str">
        <f>hitung_F2!G71</f>
        <v>sdfsd</v>
      </c>
      <c r="D22" s="553">
        <v>12.5</v>
      </c>
      <c r="E22" s="198">
        <f>hitung_F2!E76</f>
        <v>3</v>
      </c>
      <c r="F22" s="61"/>
      <c r="G22" s="72">
        <f t="shared" si="0"/>
        <v>37.5</v>
      </c>
      <c r="H22" s="737">
        <f>SUM(G22:G23)</f>
        <v>75</v>
      </c>
    </row>
    <row r="23" spans="1:8" ht="39" customHeight="1">
      <c r="A23" s="535" t="s">
        <v>111</v>
      </c>
      <c r="B23" s="189" t="str">
        <f>hitung_F2!C78</f>
        <v>Kejelasan analisis intra dan antar komponen evaluasi-diri.</v>
      </c>
      <c r="C23" s="191" t="str">
        <f>hitung_F2!G78</f>
        <v>ggf</v>
      </c>
      <c r="D23" s="553">
        <v>12.5</v>
      </c>
      <c r="E23" s="198">
        <f>hitung_F2!E83</f>
        <v>3</v>
      </c>
      <c r="F23" s="61"/>
      <c r="G23" s="72">
        <f t="shared" si="0"/>
        <v>37.5</v>
      </c>
    </row>
    <row r="24" spans="1:8">
      <c r="A24" s="125"/>
      <c r="B24" s="126"/>
      <c r="C24" s="127"/>
      <c r="D24" s="128"/>
      <c r="E24" s="129"/>
      <c r="F24" s="61"/>
      <c r="G24" s="130"/>
    </row>
    <row r="25" spans="1:8">
      <c r="A25" s="64"/>
      <c r="B25" s="681"/>
      <c r="C25" s="681"/>
      <c r="D25" s="69"/>
      <c r="E25" s="69"/>
      <c r="F25" s="61"/>
      <c r="G25" s="61"/>
    </row>
    <row r="26" spans="1:8" ht="15.75">
      <c r="A26" s="64"/>
      <c r="B26" s="681"/>
      <c r="C26" s="690" t="str">
        <f>'F1'!D114</f>
        <v>Jakarta, 16 - 18 April 2015</v>
      </c>
      <c r="D26" s="681"/>
      <c r="E26" s="69"/>
      <c r="F26" s="61"/>
      <c r="G26" s="61"/>
    </row>
    <row r="27" spans="1:8" ht="15" customHeight="1">
      <c r="A27" s="64"/>
      <c r="B27" s="685"/>
      <c r="C27" s="681"/>
      <c r="D27" s="681"/>
      <c r="E27" s="69"/>
      <c r="F27" s="61"/>
      <c r="G27" s="61"/>
    </row>
    <row r="28" spans="1:8">
      <c r="A28" s="64"/>
      <c r="B28" s="685"/>
      <c r="C28" s="631" t="str">
        <f>'F1'!D116</f>
        <v>Nama Asesor : Nama Asesor</v>
      </c>
      <c r="D28" s="631"/>
      <c r="E28" s="631"/>
      <c r="F28" s="656"/>
      <c r="G28" s="656"/>
    </row>
    <row r="29" spans="1:8">
      <c r="A29" s="64"/>
      <c r="B29" s="685"/>
      <c r="C29" s="638"/>
      <c r="D29" s="691"/>
      <c r="E29" s="74"/>
      <c r="F29" s="76"/>
      <c r="G29" s="76"/>
    </row>
    <row r="30" spans="1:8">
      <c r="A30" s="64"/>
      <c r="B30" s="685"/>
      <c r="C30" s="681"/>
      <c r="D30" s="681"/>
      <c r="E30" s="74"/>
      <c r="F30" s="76"/>
      <c r="G30" s="76"/>
    </row>
    <row r="31" spans="1:8">
      <c r="A31" s="70"/>
      <c r="B31" s="685"/>
      <c r="C31" s="631" t="str">
        <f>'F1'!D119</f>
        <v>Tanda Tangan : ………………….</v>
      </c>
      <c r="D31" s="631"/>
      <c r="E31" s="631"/>
      <c r="F31" s="631"/>
      <c r="G31" s="76"/>
    </row>
    <row r="32" spans="1:8">
      <c r="A32" s="70"/>
      <c r="B32" s="685"/>
      <c r="C32" s="686"/>
      <c r="D32" s="688"/>
      <c r="E32" s="688"/>
      <c r="F32" s="76"/>
      <c r="G32" s="76"/>
    </row>
    <row r="33" spans="1:7">
      <c r="A33" s="70"/>
      <c r="B33" s="681"/>
      <c r="C33" s="681"/>
      <c r="D33" s="688"/>
      <c r="E33" s="688"/>
      <c r="F33" s="10"/>
      <c r="G33" s="10"/>
    </row>
    <row r="34" spans="1:7">
      <c r="A34" s="631"/>
      <c r="B34" s="681"/>
      <c r="C34" s="681"/>
      <c r="D34" s="688"/>
      <c r="E34" s="688"/>
      <c r="F34" s="10"/>
      <c r="G34" s="10"/>
    </row>
    <row r="35" spans="1:7">
      <c r="A35" s="631"/>
      <c r="B35" s="994" t="s">
        <v>5</v>
      </c>
      <c r="C35" s="995"/>
      <c r="D35" s="995"/>
      <c r="E35" s="996"/>
      <c r="F35" s="10"/>
      <c r="G35" s="10"/>
    </row>
    <row r="36" spans="1:7">
      <c r="A36" s="631"/>
      <c r="B36" s="692"/>
      <c r="C36" s="693" t="s">
        <v>945</v>
      </c>
      <c r="D36" s="693" t="s">
        <v>944</v>
      </c>
      <c r="E36" s="694" t="s">
        <v>113</v>
      </c>
      <c r="F36" s="10"/>
      <c r="G36" s="10"/>
    </row>
    <row r="37" spans="1:7">
      <c r="A37" s="667"/>
      <c r="B37" s="695" t="s">
        <v>919</v>
      </c>
      <c r="C37" s="696">
        <f>nilai_akhir!C117</f>
        <v>303.25155998707186</v>
      </c>
      <c r="D37" s="697">
        <v>0.9</v>
      </c>
      <c r="E37" s="697">
        <f>C37*D37</f>
        <v>272.92640398836465</v>
      </c>
      <c r="F37" s="10"/>
      <c r="G37" s="10"/>
    </row>
    <row r="38" spans="1:7">
      <c r="A38" s="667"/>
      <c r="B38" s="695" t="s">
        <v>142</v>
      </c>
      <c r="C38" s="696">
        <f>nilai_akhir!G27</f>
        <v>310.625</v>
      </c>
      <c r="D38" s="697">
        <v>0.1</v>
      </c>
      <c r="E38" s="697">
        <f>C38*D38</f>
        <v>31.0625</v>
      </c>
      <c r="F38" s="10"/>
      <c r="G38" s="10"/>
    </row>
    <row r="39" spans="1:7">
      <c r="A39" s="125"/>
      <c r="B39" s="698" t="s">
        <v>69</v>
      </c>
      <c r="C39" s="699"/>
      <c r="D39" s="700"/>
      <c r="E39" s="697">
        <f>SUM(E37:E38)</f>
        <v>303.98890398836465</v>
      </c>
      <c r="F39" s="10"/>
      <c r="G39" s="10"/>
    </row>
    <row r="40" spans="1:7">
      <c r="A40" s="125"/>
      <c r="B40" s="701"/>
      <c r="C40" s="702"/>
      <c r="D40" s="703"/>
      <c r="E40" s="697"/>
      <c r="F40" s="10"/>
      <c r="G40" s="10"/>
    </row>
    <row r="41" spans="1:7" ht="15.75">
      <c r="A41" s="9"/>
      <c r="B41" s="704" t="s">
        <v>4</v>
      </c>
      <c r="C41" s="705"/>
      <c r="D41" s="706"/>
      <c r="E41" s="707" t="str">
        <f>IF(E39&gt;=200, "Lolos", "Tidak lolos")</f>
        <v>Lolos</v>
      </c>
      <c r="F41" s="10"/>
      <c r="G41" s="10"/>
    </row>
    <row r="42" spans="1:7">
      <c r="A42" s="11"/>
      <c r="B42" s="27"/>
      <c r="C42" s="27"/>
      <c r="D42" s="29"/>
      <c r="E42" s="17"/>
      <c r="F42" s="10"/>
      <c r="G42" s="10"/>
    </row>
    <row r="43" spans="1:7">
      <c r="A43" s="11"/>
      <c r="B43" s="27"/>
      <c r="C43" s="27"/>
      <c r="D43" s="29"/>
      <c r="E43" s="17"/>
      <c r="F43" s="10"/>
      <c r="G43" s="10"/>
    </row>
    <row r="44" spans="1:7">
      <c r="A44" s="9"/>
      <c r="B44" s="708"/>
      <c r="C44" s="709"/>
      <c r="D44" s="710"/>
      <c r="E44" s="710"/>
      <c r="F44" s="10"/>
      <c r="G44" s="10"/>
    </row>
    <row r="45" spans="1:7">
      <c r="A45" s="11"/>
      <c r="B45" s="19"/>
      <c r="C45" s="16"/>
      <c r="D45" s="29"/>
      <c r="E45" s="17"/>
      <c r="F45" s="10"/>
      <c r="G45" s="10"/>
    </row>
    <row r="46" spans="1:7">
      <c r="A46" s="11"/>
      <c r="B46" s="19"/>
      <c r="C46" s="16"/>
      <c r="D46" s="29"/>
      <c r="E46" s="17"/>
      <c r="F46" s="10"/>
      <c r="G46" s="10"/>
    </row>
    <row r="47" spans="1:7">
      <c r="A47" s="9"/>
      <c r="B47" s="708"/>
      <c r="C47" s="709"/>
      <c r="D47" s="710"/>
      <c r="E47" s="710"/>
      <c r="F47" s="10"/>
      <c r="G47" s="10"/>
    </row>
    <row r="48" spans="1:7">
      <c r="A48" s="9"/>
      <c r="B48" s="708"/>
      <c r="C48" s="709"/>
      <c r="D48" s="710"/>
      <c r="E48" s="710"/>
      <c r="F48" s="10"/>
      <c r="G48" s="10"/>
    </row>
    <row r="49" spans="1:8">
      <c r="A49" s="9"/>
      <c r="B49" s="708"/>
      <c r="C49" s="709"/>
      <c r="D49" s="710"/>
      <c r="E49" s="710"/>
      <c r="F49" s="10"/>
      <c r="G49" s="10"/>
    </row>
    <row r="50" spans="1:8">
      <c r="A50" s="9"/>
      <c r="B50" s="708"/>
      <c r="C50" s="709"/>
      <c r="D50" s="710"/>
      <c r="E50" s="710"/>
      <c r="F50" s="10"/>
      <c r="G50" s="10"/>
    </row>
    <row r="51" spans="1:8" ht="15.75">
      <c r="A51" s="9"/>
      <c r="B51" s="708"/>
      <c r="C51" s="709"/>
      <c r="D51" s="710"/>
      <c r="E51" s="710"/>
      <c r="F51" s="10"/>
      <c r="G51" s="10"/>
      <c r="H51" s="2"/>
    </row>
    <row r="52" spans="1:8">
      <c r="A52" s="9"/>
      <c r="B52" s="708"/>
      <c r="C52" s="709"/>
      <c r="D52" s="710"/>
      <c r="E52" s="710"/>
      <c r="F52" s="10"/>
      <c r="G52" s="10"/>
    </row>
    <row r="53" spans="1:8">
      <c r="A53" s="9"/>
      <c r="B53" s="708"/>
      <c r="C53" s="709"/>
      <c r="D53" s="710"/>
      <c r="E53" s="710"/>
      <c r="F53" s="10"/>
      <c r="G53" s="10"/>
    </row>
    <row r="54" spans="1:8" ht="15" customHeight="1">
      <c r="A54" s="8"/>
      <c r="B54" s="20"/>
      <c r="C54" s="8"/>
      <c r="D54" s="17"/>
      <c r="E54" s="710"/>
      <c r="F54" s="10"/>
      <c r="G54" s="10"/>
    </row>
    <row r="55" spans="1:8">
      <c r="A55" s="8"/>
      <c r="B55" s="20"/>
      <c r="C55" s="8"/>
      <c r="D55" s="17"/>
      <c r="E55" s="710"/>
      <c r="F55" s="10"/>
      <c r="G55" s="10"/>
    </row>
    <row r="56" spans="1:8">
      <c r="A56" s="8"/>
      <c r="B56" s="20"/>
      <c r="C56" s="8"/>
      <c r="D56" s="17"/>
      <c r="E56" s="710"/>
      <c r="F56" s="10"/>
      <c r="G56" s="10"/>
    </row>
    <row r="57" spans="1:8" ht="15" customHeight="1">
      <c r="A57" s="8"/>
      <c r="B57" s="20"/>
      <c r="C57" s="8"/>
      <c r="D57" s="17"/>
      <c r="E57" s="710"/>
      <c r="F57" s="10"/>
      <c r="G57" s="10"/>
    </row>
    <row r="58" spans="1:8">
      <c r="A58" s="8"/>
      <c r="B58" s="20"/>
      <c r="C58" s="8"/>
      <c r="D58" s="17"/>
      <c r="E58" s="710"/>
      <c r="F58" s="10"/>
      <c r="G58" s="10"/>
    </row>
    <row r="59" spans="1:8">
      <c r="A59" s="8"/>
      <c r="B59" s="20"/>
      <c r="C59" s="8"/>
      <c r="D59" s="17"/>
      <c r="E59" s="710"/>
      <c r="F59" s="10"/>
      <c r="G59" s="10"/>
    </row>
  </sheetData>
  <sheetProtection sheet="1" objects="1" scenarios="1" formatColumns="0" formatRows="0" selectLockedCells="1"/>
  <mergeCells count="8">
    <mergeCell ref="B35:E35"/>
    <mergeCell ref="A5:B5"/>
    <mergeCell ref="A6:B6"/>
    <mergeCell ref="A1:E1"/>
    <mergeCell ref="A3:B3"/>
    <mergeCell ref="A4:B4"/>
    <mergeCell ref="C3:E3"/>
    <mergeCell ref="C4:E4"/>
  </mergeCells>
  <phoneticPr fontId="35" type="noConversion"/>
  <pageMargins left="0.7" right="0.7" top="0.75" bottom="0.75" header="0.3" footer="0.3"/>
  <pageSetup orientation="portrait" r:id="rId1"/>
  <headerFooter>
    <oddFooter>&amp;LFormat 3 - &amp;D@&amp;T&amp;CAIPT&amp;R&amp;P/&amp;N</oddFooter>
  </headerFooter>
  <drawing r:id="rId2"/>
</worksheet>
</file>

<file path=xl/worksheets/sheet5.xml><?xml version="1.0" encoding="utf-8"?>
<worksheet xmlns="http://schemas.openxmlformats.org/spreadsheetml/2006/main" xmlns:r="http://schemas.openxmlformats.org/officeDocument/2006/relationships">
  <sheetPr codeName="Sheet5"/>
  <dimension ref="A1:Q151"/>
  <sheetViews>
    <sheetView workbookViewId="0">
      <selection activeCell="E5" sqref="E5"/>
    </sheetView>
  </sheetViews>
  <sheetFormatPr defaultRowHeight="15"/>
  <cols>
    <col min="1" max="1" width="5.5703125" customWidth="1"/>
    <col min="2" max="2" width="7.85546875" customWidth="1"/>
    <col min="3" max="3" width="5" customWidth="1"/>
    <col min="4" max="4" width="55.140625" customWidth="1"/>
    <col min="5" max="5" width="8" customWidth="1"/>
    <col min="6" max="6" width="8.42578125" customWidth="1"/>
    <col min="7" max="7" width="29" customWidth="1"/>
    <col min="9" max="9" width="11.140625" customWidth="1"/>
  </cols>
  <sheetData>
    <row r="1" spans="1:17" ht="25.5" customHeight="1">
      <c r="A1" s="1008" t="s">
        <v>813</v>
      </c>
      <c r="B1" s="1008"/>
      <c r="C1" s="1008"/>
      <c r="D1" s="1008"/>
      <c r="E1" s="1008"/>
      <c r="F1" s="1008"/>
      <c r="G1" s="1008"/>
      <c r="H1" s="1008"/>
      <c r="I1" s="1008"/>
      <c r="J1" s="1008"/>
    </row>
    <row r="2" spans="1:17" ht="22.5" customHeight="1" thickBot="1">
      <c r="A2" s="1008"/>
      <c r="B2" s="1008"/>
      <c r="C2" s="1008"/>
      <c r="D2" s="1008"/>
      <c r="E2" s="1008"/>
      <c r="F2" s="1008"/>
      <c r="G2" s="1008"/>
      <c r="H2" s="1008"/>
      <c r="I2" s="1008"/>
      <c r="J2" s="1008"/>
    </row>
    <row r="3" spans="1:17" ht="56.25" customHeight="1" thickBot="1">
      <c r="A3" s="218" t="s">
        <v>131</v>
      </c>
      <c r="B3" s="219" t="s">
        <v>132</v>
      </c>
      <c r="C3" s="954" t="s">
        <v>9</v>
      </c>
      <c r="D3" s="954"/>
      <c r="E3" s="220" t="s">
        <v>10</v>
      </c>
      <c r="F3" s="199"/>
      <c r="G3" s="1018" t="s">
        <v>822</v>
      </c>
      <c r="H3" s="1019"/>
      <c r="I3" s="1020"/>
    </row>
    <row r="4" spans="1:17" ht="30.75" customHeight="1" thickBot="1">
      <c r="A4" s="149">
        <v>1</v>
      </c>
      <c r="B4" s="505">
        <v>1</v>
      </c>
      <c r="C4" s="831" t="s">
        <v>872</v>
      </c>
      <c r="D4" s="1009"/>
      <c r="E4" s="528"/>
      <c r="F4" s="91"/>
      <c r="G4" s="529"/>
      <c r="H4" s="529"/>
      <c r="I4" s="529"/>
      <c r="J4" s="50"/>
      <c r="K4" s="51"/>
      <c r="L4" s="50"/>
      <c r="M4" s="10"/>
      <c r="N4" s="41"/>
      <c r="O4" s="10"/>
      <c r="P4" s="10"/>
      <c r="Q4" s="10"/>
    </row>
    <row r="5" spans="1:17" ht="57.75" customHeight="1" thickBot="1">
      <c r="A5" s="149"/>
      <c r="B5" s="533" t="s">
        <v>102</v>
      </c>
      <c r="C5" s="933" t="s">
        <v>871</v>
      </c>
      <c r="D5" s="1003"/>
      <c r="E5" s="511">
        <v>3.25</v>
      </c>
      <c r="F5" s="91"/>
      <c r="G5" s="889" t="s">
        <v>867</v>
      </c>
      <c r="H5" s="890"/>
      <c r="I5" s="891"/>
      <c r="J5" s="50"/>
      <c r="K5" s="51"/>
      <c r="L5" s="50"/>
      <c r="M5" s="10"/>
      <c r="N5" s="41"/>
      <c r="O5" s="10"/>
      <c r="P5" s="10"/>
      <c r="Q5" s="10"/>
    </row>
    <row r="6" spans="1:17" ht="54.75" customHeight="1">
      <c r="A6" s="149"/>
      <c r="B6" s="162"/>
      <c r="C6" s="474">
        <v>4</v>
      </c>
      <c r="D6" s="276" t="s">
        <v>814</v>
      </c>
      <c r="E6" s="507"/>
      <c r="F6" s="50"/>
      <c r="G6" s="246"/>
      <c r="H6" s="246"/>
      <c r="I6" s="246"/>
      <c r="J6" s="50"/>
      <c r="K6" s="51"/>
      <c r="L6" s="50"/>
      <c r="M6" s="10"/>
      <c r="N6" s="41"/>
      <c r="O6" s="10"/>
      <c r="P6" s="10"/>
      <c r="Q6" s="10"/>
    </row>
    <row r="7" spans="1:17" ht="54" customHeight="1">
      <c r="A7" s="149"/>
      <c r="B7" s="506"/>
      <c r="C7" s="277">
        <v>3</v>
      </c>
      <c r="D7" s="282" t="s">
        <v>816</v>
      </c>
      <c r="E7" s="510"/>
      <c r="F7" s="50"/>
      <c r="G7" s="237"/>
      <c r="H7" s="237"/>
      <c r="I7" s="237"/>
      <c r="J7" s="50"/>
      <c r="K7" s="51"/>
      <c r="L7" s="50"/>
      <c r="M7" s="10"/>
      <c r="N7" s="41"/>
      <c r="O7" s="10"/>
      <c r="P7" s="10"/>
      <c r="Q7" s="10"/>
    </row>
    <row r="8" spans="1:17" ht="40.5" customHeight="1">
      <c r="A8" s="149"/>
      <c r="B8" s="162"/>
      <c r="C8" s="277">
        <v>2</v>
      </c>
      <c r="D8" s="282" t="s">
        <v>815</v>
      </c>
      <c r="E8" s="510"/>
      <c r="F8" s="50"/>
      <c r="G8" s="86"/>
      <c r="H8" s="53"/>
      <c r="I8" s="50"/>
      <c r="J8" s="50"/>
      <c r="K8" s="51"/>
      <c r="L8" s="50"/>
      <c r="M8" s="10"/>
      <c r="N8" s="41"/>
      <c r="O8" s="10"/>
      <c r="P8" s="10"/>
      <c r="Q8" s="10"/>
    </row>
    <row r="9" spans="1:17" ht="39.75" customHeight="1">
      <c r="A9" s="149"/>
      <c r="B9" s="162"/>
      <c r="C9" s="277">
        <v>1</v>
      </c>
      <c r="D9" s="282" t="s">
        <v>817</v>
      </c>
      <c r="E9" s="508"/>
      <c r="F9" s="50"/>
      <c r="G9" s="215"/>
      <c r="H9" s="53"/>
      <c r="I9" s="50"/>
      <c r="J9" s="50"/>
      <c r="K9" s="51"/>
      <c r="L9" s="50"/>
      <c r="M9" s="10"/>
      <c r="N9" s="41"/>
      <c r="O9" s="10"/>
      <c r="P9" s="10"/>
      <c r="Q9" s="10"/>
    </row>
    <row r="10" spans="1:17" ht="22.5" customHeight="1" thickBot="1">
      <c r="A10" s="150"/>
      <c r="B10" s="150"/>
      <c r="C10" s="1012" t="s">
        <v>90</v>
      </c>
      <c r="D10" s="1013"/>
      <c r="E10" s="217">
        <f>IF(OR(E5&lt;1,E5&gt;4),"Salah Isi",E5)</f>
        <v>3.25</v>
      </c>
      <c r="F10" s="91"/>
      <c r="G10" s="81"/>
      <c r="H10" s="53"/>
      <c r="I10" s="50"/>
      <c r="J10" s="50"/>
      <c r="K10" s="51"/>
      <c r="L10" s="50"/>
      <c r="M10" s="10"/>
      <c r="N10" s="41"/>
      <c r="O10" s="10"/>
      <c r="P10" s="10"/>
      <c r="Q10" s="10"/>
    </row>
    <row r="11" spans="1:17" ht="15.75" thickBot="1">
      <c r="A11" s="151"/>
      <c r="B11" s="151"/>
      <c r="C11" s="91"/>
      <c r="D11" s="91"/>
      <c r="E11" s="151"/>
      <c r="F11" s="91"/>
      <c r="G11" s="82"/>
    </row>
    <row r="12" spans="1:17" ht="50.25" customHeight="1" thickBot="1">
      <c r="A12" s="149">
        <v>2</v>
      </c>
      <c r="B12" s="361" t="s">
        <v>101</v>
      </c>
      <c r="C12" s="1010" t="s">
        <v>71</v>
      </c>
      <c r="D12" s="1011"/>
      <c r="E12" s="511">
        <v>4</v>
      </c>
      <c r="F12" s="91"/>
      <c r="G12" s="1004" t="s">
        <v>827</v>
      </c>
      <c r="H12" s="1005"/>
      <c r="I12" s="1006"/>
      <c r="J12" s="50"/>
      <c r="K12" s="51"/>
      <c r="L12" s="50"/>
      <c r="M12" s="10"/>
      <c r="N12" s="41"/>
      <c r="O12" s="10"/>
      <c r="P12" s="10"/>
      <c r="Q12" s="10"/>
    </row>
    <row r="13" spans="1:17" ht="30.75" customHeight="1">
      <c r="A13" s="149"/>
      <c r="B13" s="149"/>
      <c r="C13" s="253">
        <v>4</v>
      </c>
      <c r="D13" s="514" t="s">
        <v>818</v>
      </c>
      <c r="E13" s="507"/>
      <c r="F13" s="50"/>
      <c r="G13" s="245"/>
      <c r="H13" s="245"/>
      <c r="I13" s="245"/>
      <c r="J13" s="50"/>
      <c r="K13" s="51"/>
      <c r="L13" s="50"/>
      <c r="M13" s="10"/>
      <c r="N13" s="41"/>
      <c r="O13" s="10"/>
      <c r="P13" s="10"/>
      <c r="Q13" s="10"/>
    </row>
    <row r="14" spans="1:17" ht="28.5" customHeight="1">
      <c r="A14" s="149"/>
      <c r="B14" s="149"/>
      <c r="C14" s="253">
        <v>3</v>
      </c>
      <c r="D14" s="514" t="s">
        <v>819</v>
      </c>
      <c r="E14" s="510"/>
      <c r="F14" s="50"/>
      <c r="G14" s="245"/>
      <c r="H14" s="245"/>
      <c r="I14" s="245"/>
      <c r="J14" s="50"/>
      <c r="K14" s="51"/>
      <c r="L14" s="50"/>
      <c r="M14" s="10"/>
      <c r="N14" s="41"/>
      <c r="O14" s="10"/>
      <c r="P14" s="10"/>
      <c r="Q14" s="10"/>
    </row>
    <row r="15" spans="1:17" ht="30" customHeight="1">
      <c r="A15" s="149"/>
      <c r="B15" s="149"/>
      <c r="C15" s="515">
        <v>2</v>
      </c>
      <c r="D15" s="282" t="s">
        <v>820</v>
      </c>
      <c r="E15" s="513"/>
      <c r="F15" s="91"/>
      <c r="G15" s="86"/>
      <c r="H15" s="53"/>
      <c r="I15" s="50"/>
      <c r="J15" s="50"/>
      <c r="K15" s="51"/>
      <c r="L15" s="50"/>
      <c r="M15" s="10"/>
      <c r="N15" s="41"/>
      <c r="O15" s="10"/>
      <c r="P15" s="10"/>
      <c r="Q15" s="10"/>
    </row>
    <row r="16" spans="1:17" ht="30" customHeight="1">
      <c r="A16" s="149"/>
      <c r="B16" s="149"/>
      <c r="C16" s="515">
        <v>1</v>
      </c>
      <c r="D16" s="282" t="s">
        <v>821</v>
      </c>
      <c r="E16" s="513"/>
      <c r="F16" s="91"/>
      <c r="G16" s="86"/>
      <c r="H16" s="53"/>
      <c r="I16" s="50"/>
      <c r="J16" s="50"/>
      <c r="K16" s="51"/>
      <c r="L16" s="50"/>
      <c r="M16" s="10"/>
      <c r="N16" s="41"/>
      <c r="O16" s="10"/>
      <c r="P16" s="10"/>
      <c r="Q16" s="10"/>
    </row>
    <row r="17" spans="1:17" ht="19.5" thickBot="1">
      <c r="A17" s="149"/>
      <c r="B17" s="149"/>
      <c r="C17" s="862" t="s">
        <v>90</v>
      </c>
      <c r="D17" s="863"/>
      <c r="E17" s="217">
        <f>IF(OR(E12&lt;1,E12&gt;4),"Salah Isi",E12)</f>
        <v>4</v>
      </c>
      <c r="F17" s="91"/>
      <c r="G17" s="81"/>
      <c r="H17" s="53"/>
      <c r="I17" s="50"/>
      <c r="J17" s="50"/>
      <c r="K17" s="51"/>
      <c r="L17" s="50"/>
      <c r="M17" s="10"/>
      <c r="N17" s="41"/>
      <c r="O17" s="10"/>
      <c r="P17" s="10"/>
      <c r="Q17" s="10"/>
    </row>
    <row r="18" spans="1:17" ht="15.75" thickBot="1">
      <c r="A18" s="151"/>
      <c r="B18" s="151"/>
      <c r="C18" s="91"/>
      <c r="D18" s="91"/>
      <c r="E18" s="151"/>
      <c r="F18" s="91"/>
      <c r="G18" s="82"/>
    </row>
    <row r="19" spans="1:17" ht="37.5" customHeight="1" thickBot="1">
      <c r="A19" s="149">
        <v>3</v>
      </c>
      <c r="B19" s="512">
        <v>2</v>
      </c>
      <c r="C19" s="912" t="s">
        <v>873</v>
      </c>
      <c r="D19" s="913"/>
      <c r="E19" s="532"/>
      <c r="F19" s="91"/>
      <c r="G19" s="1014"/>
      <c r="H19" s="1015"/>
      <c r="I19" s="1015"/>
      <c r="J19" s="50"/>
      <c r="K19" s="51"/>
      <c r="L19" s="50"/>
      <c r="M19" s="10"/>
      <c r="N19" s="41"/>
      <c r="O19" s="10"/>
      <c r="P19" s="10"/>
      <c r="Q19" s="10"/>
    </row>
    <row r="20" spans="1:17" ht="24.75" customHeight="1">
      <c r="A20" s="149"/>
      <c r="B20" s="361" t="s">
        <v>103</v>
      </c>
      <c r="C20" s="1007" t="s">
        <v>868</v>
      </c>
      <c r="D20" s="1007"/>
      <c r="E20" s="511">
        <v>3</v>
      </c>
      <c r="F20" s="91"/>
      <c r="G20" s="790" t="s">
        <v>869</v>
      </c>
      <c r="H20" s="791"/>
      <c r="I20" s="792"/>
      <c r="J20" s="50"/>
      <c r="K20" s="51"/>
      <c r="L20" s="50"/>
      <c r="M20" s="10"/>
      <c r="N20" s="41"/>
      <c r="O20" s="10"/>
      <c r="P20" s="10"/>
      <c r="Q20" s="10"/>
    </row>
    <row r="21" spans="1:17" ht="29.25" customHeight="1" thickBot="1">
      <c r="A21" s="151"/>
      <c r="B21" s="361"/>
      <c r="C21" s="530">
        <v>4</v>
      </c>
      <c r="D21" s="531" t="s">
        <v>823</v>
      </c>
      <c r="E21" s="519"/>
      <c r="F21" s="91"/>
      <c r="G21" s="793"/>
      <c r="H21" s="794"/>
      <c r="I21" s="795"/>
      <c r="J21" s="50"/>
      <c r="K21" s="51"/>
      <c r="L21" s="50"/>
      <c r="M21" s="10"/>
      <c r="N21" s="41"/>
      <c r="O21" s="10"/>
      <c r="P21" s="10"/>
      <c r="Q21" s="10"/>
    </row>
    <row r="22" spans="1:17" ht="29.25" customHeight="1">
      <c r="A22" s="151"/>
      <c r="B22" s="361"/>
      <c r="C22" s="253">
        <v>3</v>
      </c>
      <c r="D22" s="252" t="s">
        <v>824</v>
      </c>
      <c r="E22" s="519"/>
      <c r="F22" s="91"/>
      <c r="G22" s="235"/>
      <c r="H22" s="235"/>
      <c r="I22" s="235"/>
      <c r="J22" s="50"/>
      <c r="K22" s="51"/>
      <c r="L22" s="50"/>
      <c r="M22" s="10"/>
      <c r="N22" s="41"/>
      <c r="O22" s="10"/>
      <c r="P22" s="10"/>
      <c r="Q22" s="10"/>
    </row>
    <row r="23" spans="1:17" ht="42" customHeight="1">
      <c r="A23" s="151"/>
      <c r="B23" s="361"/>
      <c r="C23" s="253">
        <v>2</v>
      </c>
      <c r="D23" s="252" t="s">
        <v>826</v>
      </c>
      <c r="E23" s="519"/>
      <c r="F23" s="91"/>
      <c r="G23" s="235"/>
      <c r="H23" s="235"/>
      <c r="I23" s="235"/>
      <c r="J23" s="50"/>
      <c r="K23" s="51"/>
      <c r="L23" s="50"/>
      <c r="M23" s="10"/>
      <c r="N23" s="41"/>
      <c r="O23" s="10"/>
      <c r="P23" s="10"/>
      <c r="Q23" s="10"/>
    </row>
    <row r="24" spans="1:17" ht="43.5" customHeight="1">
      <c r="A24" s="151"/>
      <c r="B24" s="361"/>
      <c r="C24" s="253">
        <v>1</v>
      </c>
      <c r="D24" s="427" t="s">
        <v>825</v>
      </c>
      <c r="E24" s="519"/>
      <c r="F24" s="91"/>
      <c r="G24" s="235"/>
      <c r="H24" s="235"/>
      <c r="I24" s="235"/>
      <c r="J24" s="50"/>
      <c r="K24" s="51"/>
      <c r="L24" s="50"/>
      <c r="M24" s="10"/>
      <c r="N24" s="41"/>
      <c r="O24" s="10"/>
      <c r="P24" s="10"/>
      <c r="Q24" s="10"/>
    </row>
    <row r="25" spans="1:17" ht="19.5" thickBot="1">
      <c r="A25" s="149"/>
      <c r="B25" s="149"/>
      <c r="C25" s="516" t="s">
        <v>90</v>
      </c>
      <c r="D25" s="517"/>
      <c r="E25" s="217">
        <f>IF(OR(E20&lt;1,E20&gt;4),"Salah Isi",E20)</f>
        <v>3</v>
      </c>
      <c r="F25" s="91"/>
      <c r="G25" s="81"/>
      <c r="H25" s="53"/>
      <c r="I25" s="50"/>
      <c r="J25" s="50"/>
      <c r="K25" s="51"/>
      <c r="L25" s="50"/>
      <c r="M25" s="10"/>
      <c r="N25" s="41"/>
      <c r="O25" s="10"/>
      <c r="P25" s="10"/>
      <c r="Q25" s="10"/>
    </row>
    <row r="26" spans="1:17" ht="17.25" customHeight="1" thickBot="1">
      <c r="A26" s="149"/>
      <c r="B26" s="149"/>
      <c r="C26" s="89"/>
      <c r="D26" s="89"/>
      <c r="E26" s="91"/>
      <c r="F26" s="91"/>
      <c r="G26" s="81"/>
      <c r="H26" s="53"/>
      <c r="I26" s="50"/>
      <c r="J26" s="50"/>
      <c r="K26" s="51"/>
      <c r="L26" s="50"/>
      <c r="M26" s="10"/>
      <c r="N26" s="41"/>
      <c r="O26" s="10"/>
      <c r="P26" s="10"/>
      <c r="Q26" s="10"/>
    </row>
    <row r="27" spans="1:17" ht="48" customHeight="1" thickBot="1">
      <c r="A27" s="81">
        <v>4</v>
      </c>
      <c r="B27" s="361" t="s">
        <v>104</v>
      </c>
      <c r="C27" s="1010" t="s">
        <v>870</v>
      </c>
      <c r="D27" s="1011"/>
      <c r="E27" s="511">
        <v>3</v>
      </c>
      <c r="F27" s="91"/>
      <c r="G27" s="822" t="s">
        <v>828</v>
      </c>
      <c r="H27" s="823"/>
      <c r="I27" s="824"/>
      <c r="J27" s="50"/>
      <c r="K27" s="51"/>
      <c r="L27" s="50"/>
      <c r="M27" s="10"/>
      <c r="N27" s="41"/>
      <c r="O27" s="10"/>
      <c r="P27" s="10"/>
      <c r="Q27" s="10"/>
    </row>
    <row r="28" spans="1:17" ht="30.75" customHeight="1">
      <c r="A28" s="520"/>
      <c r="B28" s="521"/>
      <c r="C28" s="253">
        <v>4</v>
      </c>
      <c r="D28" s="252" t="s">
        <v>829</v>
      </c>
      <c r="E28" s="519"/>
      <c r="F28" s="91"/>
      <c r="G28" s="235"/>
      <c r="H28" s="235"/>
      <c r="I28" s="235"/>
      <c r="J28" s="50"/>
      <c r="K28" s="51"/>
      <c r="L28" s="50"/>
      <c r="M28" s="10"/>
      <c r="N28" s="41"/>
      <c r="O28" s="10"/>
      <c r="P28" s="10"/>
      <c r="Q28" s="10"/>
    </row>
    <row r="29" spans="1:17" ht="30.75" customHeight="1">
      <c r="A29" s="520"/>
      <c r="B29" s="521"/>
      <c r="C29" s="253">
        <v>3</v>
      </c>
      <c r="D29" s="252" t="s">
        <v>830</v>
      </c>
      <c r="E29" s="519"/>
      <c r="F29" s="91"/>
      <c r="G29" s="235"/>
      <c r="H29" s="235"/>
      <c r="I29" s="235"/>
      <c r="J29" s="50"/>
      <c r="K29" s="51"/>
      <c r="L29" s="50"/>
      <c r="M29" s="10"/>
      <c r="N29" s="41"/>
      <c r="O29" s="10"/>
      <c r="P29" s="10"/>
      <c r="Q29" s="10"/>
    </row>
    <row r="30" spans="1:17" ht="30" customHeight="1">
      <c r="A30" s="520"/>
      <c r="B30" s="521"/>
      <c r="C30" s="253">
        <v>2</v>
      </c>
      <c r="D30" s="252" t="s">
        <v>831</v>
      </c>
      <c r="E30" s="519"/>
      <c r="F30" s="91"/>
      <c r="G30" s="235"/>
      <c r="H30" s="235"/>
      <c r="I30" s="235"/>
      <c r="J30" s="50"/>
      <c r="K30" s="51"/>
      <c r="L30" s="50"/>
      <c r="M30" s="10"/>
      <c r="N30" s="41"/>
      <c r="O30" s="10"/>
      <c r="P30" s="10"/>
      <c r="Q30" s="10"/>
    </row>
    <row r="31" spans="1:17" ht="30" customHeight="1">
      <c r="A31" s="520"/>
      <c r="B31" s="521"/>
      <c r="C31" s="253">
        <v>1</v>
      </c>
      <c r="D31" s="252" t="s">
        <v>832</v>
      </c>
      <c r="E31" s="519"/>
      <c r="F31" s="91"/>
      <c r="G31" s="235"/>
      <c r="H31" s="235"/>
      <c r="I31" s="235"/>
      <c r="J31" s="50"/>
      <c r="K31" s="51"/>
      <c r="L31" s="50"/>
      <c r="M31" s="10"/>
      <c r="N31" s="41"/>
      <c r="O31" s="10"/>
      <c r="P31" s="10"/>
      <c r="Q31" s="10"/>
    </row>
    <row r="32" spans="1:17" ht="17.25" customHeight="1" thickBot="1">
      <c r="A32" s="149"/>
      <c r="B32" s="149"/>
      <c r="C32" s="862" t="s">
        <v>90</v>
      </c>
      <c r="D32" s="863"/>
      <c r="E32" s="217">
        <f>IF(OR(E27&lt;1,E27&gt;4),"Salah Isi",E27)</f>
        <v>3</v>
      </c>
      <c r="F32" s="91"/>
      <c r="G32" s="81"/>
      <c r="H32" s="53"/>
      <c r="I32" s="50"/>
      <c r="J32" s="50"/>
      <c r="K32" s="51"/>
      <c r="L32" s="50"/>
      <c r="M32" s="10"/>
      <c r="N32" s="41"/>
      <c r="O32" s="10"/>
      <c r="P32" s="10"/>
      <c r="Q32" s="10"/>
    </row>
    <row r="33" spans="1:17" ht="17.25" customHeight="1" thickBot="1">
      <c r="A33" s="149"/>
      <c r="B33" s="149"/>
      <c r="C33" s="89"/>
      <c r="D33" s="89"/>
      <c r="E33" s="91"/>
      <c r="F33" s="91"/>
      <c r="G33" s="81"/>
      <c r="H33" s="53"/>
      <c r="I33" s="50"/>
      <c r="J33" s="50"/>
      <c r="K33" s="51"/>
      <c r="L33" s="50"/>
      <c r="M33" s="10"/>
      <c r="N33" s="41"/>
      <c r="O33" s="10"/>
      <c r="P33" s="10"/>
      <c r="Q33" s="10"/>
    </row>
    <row r="34" spans="1:17" ht="33" customHeight="1">
      <c r="A34" s="151">
        <v>5</v>
      </c>
      <c r="B34" s="361" t="s">
        <v>105</v>
      </c>
      <c r="C34" s="1001" t="s">
        <v>74</v>
      </c>
      <c r="D34" s="1002"/>
      <c r="E34" s="511">
        <v>3</v>
      </c>
      <c r="F34" s="91"/>
      <c r="G34" s="790" t="s">
        <v>614</v>
      </c>
      <c r="H34" s="820"/>
      <c r="I34" s="821"/>
      <c r="J34" s="50"/>
      <c r="K34" s="51"/>
      <c r="L34" s="50"/>
      <c r="M34" s="10"/>
      <c r="N34" s="41"/>
      <c r="O34" s="10"/>
      <c r="P34" s="10"/>
      <c r="Q34" s="10"/>
    </row>
    <row r="35" spans="1:17" ht="25.5" customHeight="1" thickBot="1">
      <c r="A35" s="151"/>
      <c r="B35" s="361"/>
      <c r="C35" s="522">
        <v>4</v>
      </c>
      <c r="D35" s="252" t="s">
        <v>833</v>
      </c>
      <c r="E35" s="519"/>
      <c r="F35" s="91"/>
      <c r="G35" s="802"/>
      <c r="H35" s="803"/>
      <c r="I35" s="804"/>
      <c r="J35" s="50"/>
      <c r="K35" s="51"/>
      <c r="L35" s="50"/>
      <c r="M35" s="10"/>
      <c r="N35" s="41"/>
      <c r="O35" s="10"/>
      <c r="P35" s="10"/>
      <c r="Q35" s="10"/>
    </row>
    <row r="36" spans="1:17" ht="41.25" customHeight="1">
      <c r="A36" s="151"/>
      <c r="B36" s="361"/>
      <c r="C36" s="522">
        <v>3</v>
      </c>
      <c r="D36" s="252" t="s">
        <v>834</v>
      </c>
      <c r="E36" s="519"/>
      <c r="F36" s="91"/>
      <c r="G36" s="235"/>
      <c r="H36" s="235"/>
      <c r="I36" s="235"/>
      <c r="J36" s="50"/>
      <c r="K36" s="51"/>
      <c r="L36" s="50"/>
      <c r="M36" s="10"/>
      <c r="N36" s="41"/>
      <c r="O36" s="10"/>
      <c r="P36" s="10"/>
      <c r="Q36" s="10"/>
    </row>
    <row r="37" spans="1:17" ht="42" customHeight="1">
      <c r="A37" s="151"/>
      <c r="B37" s="361"/>
      <c r="C37" s="522">
        <v>2</v>
      </c>
      <c r="D37" s="252" t="s">
        <v>835</v>
      </c>
      <c r="E37" s="519"/>
      <c r="F37" s="91"/>
      <c r="G37" s="235"/>
      <c r="H37" s="235"/>
      <c r="I37" s="235"/>
      <c r="J37" s="50"/>
      <c r="K37" s="51"/>
      <c r="L37" s="50"/>
      <c r="M37" s="10"/>
      <c r="N37" s="41"/>
      <c r="O37" s="10"/>
      <c r="P37" s="10"/>
      <c r="Q37" s="10"/>
    </row>
    <row r="38" spans="1:17" ht="25.5" customHeight="1">
      <c r="A38" s="151"/>
      <c r="B38" s="361"/>
      <c r="C38" s="522">
        <v>1</v>
      </c>
      <c r="D38" s="252" t="s">
        <v>836</v>
      </c>
      <c r="E38" s="519"/>
      <c r="F38" s="91"/>
      <c r="G38" s="235"/>
      <c r="H38" s="235"/>
      <c r="I38" s="235"/>
      <c r="J38" s="50"/>
      <c r="K38" s="51"/>
      <c r="L38" s="50"/>
      <c r="M38" s="10"/>
      <c r="N38" s="41"/>
      <c r="O38" s="10"/>
      <c r="P38" s="10"/>
      <c r="Q38" s="10"/>
    </row>
    <row r="39" spans="1:17" ht="19.5" thickBot="1">
      <c r="A39" s="149"/>
      <c r="B39" s="149"/>
      <c r="C39" s="862" t="s">
        <v>90</v>
      </c>
      <c r="D39" s="863"/>
      <c r="E39" s="217">
        <f>IF(OR(E34&lt;1,E34&gt;4),"Salah Isi",E34)</f>
        <v>3</v>
      </c>
      <c r="F39" s="91"/>
      <c r="G39" s="81"/>
      <c r="H39" s="53"/>
      <c r="I39" s="50"/>
      <c r="J39" s="50"/>
      <c r="K39" s="51"/>
      <c r="L39" s="50"/>
      <c r="M39" s="10"/>
      <c r="N39" s="41"/>
      <c r="O39" s="10"/>
      <c r="P39" s="10"/>
      <c r="Q39" s="10"/>
    </row>
    <row r="40" spans="1:17" ht="17.25" customHeight="1" thickBot="1">
      <c r="A40" s="149"/>
      <c r="B40" s="149"/>
      <c r="C40" s="89"/>
      <c r="D40" s="89"/>
      <c r="E40" s="91"/>
      <c r="F40" s="91"/>
      <c r="G40" s="81"/>
      <c r="H40" s="53"/>
      <c r="I40" s="50"/>
      <c r="J40" s="50"/>
      <c r="K40" s="51"/>
      <c r="L40" s="50"/>
      <c r="M40" s="10"/>
      <c r="N40" s="41"/>
      <c r="O40" s="10"/>
      <c r="P40" s="10"/>
      <c r="Q40" s="10"/>
    </row>
    <row r="41" spans="1:17" ht="48.75" customHeight="1" thickBot="1">
      <c r="A41" s="151">
        <v>6</v>
      </c>
      <c r="B41" s="361" t="s">
        <v>106</v>
      </c>
      <c r="C41" s="1001" t="s">
        <v>75</v>
      </c>
      <c r="D41" s="1002"/>
      <c r="E41" s="511">
        <v>3</v>
      </c>
      <c r="F41" s="91"/>
      <c r="G41" s="822" t="s">
        <v>841</v>
      </c>
      <c r="H41" s="823"/>
      <c r="I41" s="824"/>
      <c r="J41" s="50"/>
      <c r="K41" s="51"/>
      <c r="L41" s="50"/>
      <c r="M41" s="10"/>
      <c r="N41" s="41"/>
      <c r="O41" s="10"/>
      <c r="P41" s="10"/>
      <c r="Q41" s="10"/>
    </row>
    <row r="42" spans="1:17" ht="29.25" customHeight="1">
      <c r="A42" s="151"/>
      <c r="B42" s="361"/>
      <c r="C42" s="523">
        <v>4</v>
      </c>
      <c r="D42" s="252" t="s">
        <v>837</v>
      </c>
      <c r="E42" s="519"/>
      <c r="F42" s="91"/>
      <c r="G42" s="235"/>
      <c r="H42" s="235"/>
      <c r="I42" s="235"/>
      <c r="J42" s="50"/>
      <c r="K42" s="51"/>
      <c r="L42" s="50"/>
      <c r="M42" s="10"/>
      <c r="N42" s="41"/>
      <c r="O42" s="10"/>
      <c r="P42" s="10"/>
      <c r="Q42" s="10"/>
    </row>
    <row r="43" spans="1:17" ht="29.25" customHeight="1">
      <c r="A43" s="151"/>
      <c r="B43" s="361"/>
      <c r="C43" s="523">
        <v>3</v>
      </c>
      <c r="D43" s="252" t="s">
        <v>838</v>
      </c>
      <c r="E43" s="519"/>
      <c r="F43" s="91"/>
      <c r="G43" s="235"/>
      <c r="H43" s="235"/>
      <c r="I43" s="235"/>
      <c r="J43" s="50"/>
      <c r="K43" s="51"/>
      <c r="L43" s="50"/>
      <c r="M43" s="10"/>
      <c r="N43" s="41"/>
      <c r="O43" s="10"/>
      <c r="P43" s="10"/>
      <c r="Q43" s="10"/>
    </row>
    <row r="44" spans="1:17" ht="29.25" customHeight="1">
      <c r="A44" s="151"/>
      <c r="B44" s="361"/>
      <c r="C44" s="523">
        <v>2</v>
      </c>
      <c r="D44" s="252" t="s">
        <v>839</v>
      </c>
      <c r="E44" s="519"/>
      <c r="F44" s="91"/>
      <c r="G44" s="235"/>
      <c r="H44" s="235"/>
      <c r="I44" s="235"/>
      <c r="J44" s="50"/>
      <c r="K44" s="51"/>
      <c r="L44" s="50"/>
      <c r="M44" s="10"/>
      <c r="N44" s="41"/>
      <c r="O44" s="10"/>
      <c r="P44" s="10"/>
      <c r="Q44" s="10"/>
    </row>
    <row r="45" spans="1:17" ht="29.25" customHeight="1">
      <c r="A45" s="151"/>
      <c r="B45" s="361"/>
      <c r="C45" s="523">
        <v>1</v>
      </c>
      <c r="D45" s="252" t="s">
        <v>840</v>
      </c>
      <c r="E45" s="519"/>
      <c r="F45" s="91"/>
      <c r="G45" s="235"/>
      <c r="H45" s="235"/>
      <c r="I45" s="235"/>
      <c r="J45" s="50"/>
      <c r="K45" s="51"/>
      <c r="L45" s="50"/>
      <c r="M45" s="10"/>
      <c r="N45" s="41"/>
      <c r="O45" s="10"/>
      <c r="P45" s="10"/>
      <c r="Q45" s="10"/>
    </row>
    <row r="46" spans="1:17" ht="19.5" thickBot="1">
      <c r="A46" s="149"/>
      <c r="B46" s="149"/>
      <c r="C46" s="862" t="s">
        <v>90</v>
      </c>
      <c r="D46" s="863"/>
      <c r="E46" s="217">
        <f>IF(OR(E41&lt;1,E41&gt;4),"Salah Isi",E41)</f>
        <v>3</v>
      </c>
      <c r="F46" s="91"/>
      <c r="G46" s="81"/>
      <c r="H46" s="53"/>
      <c r="I46" s="50"/>
      <c r="J46" s="50"/>
      <c r="K46" s="51"/>
      <c r="L46" s="50"/>
      <c r="M46" s="10"/>
      <c r="N46" s="41"/>
      <c r="O46" s="10"/>
      <c r="P46" s="10"/>
      <c r="Q46" s="10"/>
    </row>
    <row r="47" spans="1:17">
      <c r="A47" s="151"/>
      <c r="B47" s="151"/>
      <c r="C47" s="89"/>
      <c r="D47" s="89"/>
      <c r="E47" s="152"/>
      <c r="F47" s="91"/>
      <c r="G47" s="82"/>
    </row>
    <row r="48" spans="1:17" ht="27" customHeight="1" thickBot="1">
      <c r="A48" s="151"/>
      <c r="B48" s="151">
        <v>3</v>
      </c>
      <c r="C48" s="999" t="s">
        <v>874</v>
      </c>
      <c r="D48" s="1000"/>
      <c r="E48" s="152"/>
      <c r="F48" s="91"/>
      <c r="G48" s="82"/>
    </row>
    <row r="49" spans="1:17" ht="43.5" customHeight="1" thickBot="1">
      <c r="A49" s="149">
        <v>7</v>
      </c>
      <c r="B49" s="361" t="s">
        <v>107</v>
      </c>
      <c r="C49" s="1001" t="s">
        <v>877</v>
      </c>
      <c r="D49" s="1002"/>
      <c r="E49" s="511">
        <v>3</v>
      </c>
      <c r="F49" s="91"/>
      <c r="G49" s="822" t="s">
        <v>846</v>
      </c>
      <c r="H49" s="823"/>
      <c r="I49" s="824"/>
      <c r="J49" s="50"/>
      <c r="K49" s="51"/>
      <c r="L49" s="50"/>
      <c r="M49" s="10"/>
      <c r="N49" s="41"/>
      <c r="O49" s="10"/>
      <c r="P49" s="10"/>
      <c r="Q49" s="10"/>
    </row>
    <row r="50" spans="1:17" ht="39" customHeight="1">
      <c r="A50" s="151"/>
      <c r="B50" s="361"/>
      <c r="C50" s="523">
        <v>4</v>
      </c>
      <c r="D50" s="252" t="s">
        <v>842</v>
      </c>
      <c r="E50" s="518"/>
      <c r="F50" s="91"/>
      <c r="G50" s="235"/>
      <c r="H50" s="235"/>
      <c r="I50" s="235"/>
      <c r="J50" s="50"/>
      <c r="K50" s="51"/>
      <c r="L50" s="50"/>
      <c r="M50" s="10"/>
      <c r="N50" s="41"/>
      <c r="O50" s="10"/>
      <c r="P50" s="10"/>
      <c r="Q50" s="10"/>
    </row>
    <row r="51" spans="1:17" ht="39" customHeight="1">
      <c r="A51" s="151"/>
      <c r="B51" s="361"/>
      <c r="C51" s="523">
        <v>3</v>
      </c>
      <c r="D51" s="252" t="s">
        <v>843</v>
      </c>
      <c r="E51" s="518"/>
      <c r="F51" s="91"/>
      <c r="G51" s="235"/>
      <c r="H51" s="235"/>
      <c r="I51" s="235"/>
      <c r="J51" s="50"/>
      <c r="K51" s="51"/>
      <c r="L51" s="50"/>
      <c r="M51" s="10"/>
      <c r="N51" s="41"/>
      <c r="O51" s="10"/>
      <c r="P51" s="10"/>
      <c r="Q51" s="10"/>
    </row>
    <row r="52" spans="1:17" ht="39" customHeight="1">
      <c r="A52" s="151"/>
      <c r="B52" s="361"/>
      <c r="C52" s="523">
        <v>2</v>
      </c>
      <c r="D52" s="252" t="s">
        <v>844</v>
      </c>
      <c r="E52" s="518"/>
      <c r="F52" s="91"/>
      <c r="G52" s="235"/>
      <c r="H52" s="235"/>
      <c r="I52" s="235"/>
      <c r="J52" s="50"/>
      <c r="K52" s="51"/>
      <c r="L52" s="50"/>
      <c r="M52" s="10"/>
      <c r="N52" s="41"/>
      <c r="O52" s="10"/>
      <c r="P52" s="10"/>
      <c r="Q52" s="10"/>
    </row>
    <row r="53" spans="1:17" ht="39" customHeight="1">
      <c r="A53" s="151"/>
      <c r="B53" s="361"/>
      <c r="C53" s="523">
        <v>1</v>
      </c>
      <c r="D53" s="252" t="s">
        <v>845</v>
      </c>
      <c r="E53" s="518"/>
      <c r="F53" s="91"/>
      <c r="G53" s="235"/>
      <c r="H53" s="235"/>
      <c r="I53" s="235"/>
      <c r="J53" s="50"/>
      <c r="K53" s="51"/>
      <c r="L53" s="50"/>
      <c r="M53" s="10"/>
      <c r="N53" s="41"/>
      <c r="O53" s="10"/>
      <c r="P53" s="10"/>
      <c r="Q53" s="10"/>
    </row>
    <row r="54" spans="1:17" ht="19.5" thickBot="1">
      <c r="A54" s="149"/>
      <c r="B54" s="149"/>
      <c r="C54" s="862" t="s">
        <v>90</v>
      </c>
      <c r="D54" s="863"/>
      <c r="E54" s="217">
        <f>IF(OR(E49&lt;1,E49&gt;4),"Salah Isi",E49)</f>
        <v>3</v>
      </c>
      <c r="F54" s="91"/>
      <c r="G54" s="81"/>
      <c r="H54" s="53"/>
      <c r="I54" s="50"/>
      <c r="J54" s="50"/>
      <c r="K54" s="51"/>
      <c r="L54" s="50"/>
      <c r="M54" s="10"/>
      <c r="N54" s="41"/>
      <c r="O54" s="10"/>
      <c r="P54" s="10"/>
      <c r="Q54" s="10"/>
    </row>
    <row r="55" spans="1:17" ht="15.75" thickBot="1">
      <c r="A55" s="151"/>
      <c r="B55" s="151"/>
      <c r="C55" s="89"/>
      <c r="D55" s="89"/>
      <c r="E55" s="152"/>
      <c r="F55" s="91"/>
      <c r="G55" s="82"/>
    </row>
    <row r="56" spans="1:17" ht="39.75" customHeight="1" thickBot="1">
      <c r="A56" s="149">
        <v>8</v>
      </c>
      <c r="B56" s="361" t="s">
        <v>108</v>
      </c>
      <c r="C56" s="1016" t="s">
        <v>875</v>
      </c>
      <c r="D56" s="1017"/>
      <c r="E56" s="511">
        <v>3</v>
      </c>
      <c r="F56" s="91"/>
      <c r="G56" s="822" t="s">
        <v>855</v>
      </c>
      <c r="H56" s="823"/>
      <c r="I56" s="824"/>
    </row>
    <row r="57" spans="1:17" ht="30" customHeight="1">
      <c r="A57" s="151"/>
      <c r="B57" s="361"/>
      <c r="C57" s="509">
        <v>4</v>
      </c>
      <c r="D57" s="285" t="s">
        <v>848</v>
      </c>
      <c r="E57" s="519"/>
      <c r="F57" s="91"/>
      <c r="G57" s="237"/>
      <c r="H57" s="237"/>
      <c r="I57" s="237"/>
    </row>
    <row r="58" spans="1:17" ht="30.75" customHeight="1">
      <c r="A58" s="151"/>
      <c r="B58" s="361"/>
      <c r="C58" s="509">
        <v>3</v>
      </c>
      <c r="D58" s="285" t="s">
        <v>847</v>
      </c>
      <c r="E58" s="519"/>
      <c r="F58" s="91"/>
      <c r="G58" s="237"/>
      <c r="H58" s="237"/>
      <c r="I58" s="237"/>
    </row>
    <row r="59" spans="1:17" ht="30.75" customHeight="1">
      <c r="A59" s="151"/>
      <c r="B59" s="361"/>
      <c r="C59" s="509">
        <v>2</v>
      </c>
      <c r="D59" s="285" t="s">
        <v>849</v>
      </c>
      <c r="E59" s="519"/>
      <c r="F59" s="91"/>
      <c r="G59" s="237"/>
      <c r="H59" s="237"/>
      <c r="I59" s="237"/>
    </row>
    <row r="60" spans="1:17" ht="30" customHeight="1">
      <c r="A60" s="151"/>
      <c r="B60" s="361"/>
      <c r="C60" s="509">
        <v>1</v>
      </c>
      <c r="D60" s="285" t="s">
        <v>850</v>
      </c>
      <c r="E60" s="519"/>
      <c r="F60" s="91"/>
      <c r="G60" s="237"/>
      <c r="H60" s="237"/>
      <c r="I60" s="237"/>
    </row>
    <row r="61" spans="1:17" ht="15.75" thickBot="1">
      <c r="A61" s="151"/>
      <c r="B61" s="151"/>
      <c r="C61" s="858" t="s">
        <v>90</v>
      </c>
      <c r="D61" s="859"/>
      <c r="E61" s="217">
        <f>IF(OR(E56&lt;1,E56&gt;4),"Salah Isi",E56)</f>
        <v>3</v>
      </c>
      <c r="F61" s="91"/>
      <c r="G61" s="237"/>
      <c r="H61" s="237"/>
      <c r="I61" s="237"/>
    </row>
    <row r="62" spans="1:17" ht="15.75" thickBot="1">
      <c r="A62" s="151"/>
      <c r="B62" s="151"/>
      <c r="C62" s="89"/>
      <c r="D62" s="89"/>
      <c r="E62" s="152"/>
      <c r="F62" s="91"/>
      <c r="G62" s="82"/>
    </row>
    <row r="63" spans="1:17" ht="39" customHeight="1">
      <c r="A63" s="151">
        <v>9</v>
      </c>
      <c r="B63" s="361" t="s">
        <v>109</v>
      </c>
      <c r="C63" s="1016" t="s">
        <v>77</v>
      </c>
      <c r="D63" s="1021"/>
      <c r="E63" s="511">
        <v>2</v>
      </c>
      <c r="F63" s="91"/>
      <c r="G63" s="790" t="s">
        <v>856</v>
      </c>
      <c r="H63" s="820"/>
      <c r="I63" s="821"/>
    </row>
    <row r="64" spans="1:17" ht="42" customHeight="1" thickBot="1">
      <c r="A64" s="151"/>
      <c r="B64" s="361"/>
      <c r="C64" s="273">
        <v>4</v>
      </c>
      <c r="D64" s="524" t="s">
        <v>851</v>
      </c>
      <c r="E64" s="519"/>
      <c r="F64" s="91"/>
      <c r="G64" s="802"/>
      <c r="H64" s="803"/>
      <c r="I64" s="804"/>
    </row>
    <row r="65" spans="1:9" ht="42" customHeight="1">
      <c r="A65" s="151"/>
      <c r="B65" s="361"/>
      <c r="C65" s="273">
        <v>3</v>
      </c>
      <c r="D65" s="524" t="s">
        <v>852</v>
      </c>
      <c r="E65" s="519"/>
      <c r="F65" s="91"/>
      <c r="G65" s="237"/>
      <c r="H65" s="237"/>
      <c r="I65" s="237"/>
    </row>
    <row r="66" spans="1:9" ht="32.25" customHeight="1">
      <c r="A66" s="151"/>
      <c r="B66" s="361"/>
      <c r="C66" s="273">
        <v>2</v>
      </c>
      <c r="D66" s="524" t="s">
        <v>853</v>
      </c>
      <c r="E66" s="519"/>
      <c r="F66" s="91"/>
      <c r="G66" s="237"/>
      <c r="H66" s="237"/>
      <c r="I66" s="237"/>
    </row>
    <row r="67" spans="1:9" ht="30.75" customHeight="1">
      <c r="A67" s="151"/>
      <c r="B67" s="361"/>
      <c r="C67" s="273">
        <v>1</v>
      </c>
      <c r="D67" s="524" t="s">
        <v>854</v>
      </c>
      <c r="E67" s="519"/>
      <c r="F67" s="91"/>
      <c r="G67" s="237"/>
      <c r="H67" s="237"/>
      <c r="I67" s="237"/>
    </row>
    <row r="68" spans="1:9" ht="15.75" thickBot="1">
      <c r="A68" s="151"/>
      <c r="B68" s="151"/>
      <c r="C68" s="835" t="s">
        <v>90</v>
      </c>
      <c r="D68" s="836"/>
      <c r="E68" s="217">
        <f>IF(OR(E63&lt;1,E63&gt;4),"Salah Isi",E63)</f>
        <v>2</v>
      </c>
      <c r="F68" s="91"/>
      <c r="G68" s="237"/>
      <c r="H68" s="237"/>
      <c r="I68" s="237"/>
    </row>
    <row r="69" spans="1:9">
      <c r="A69" s="151"/>
      <c r="B69" s="151"/>
      <c r="C69" s="91"/>
      <c r="D69" s="91"/>
      <c r="E69" s="151"/>
      <c r="F69" s="91"/>
      <c r="G69" s="82"/>
    </row>
    <row r="70" spans="1:9" ht="27.75" customHeight="1" thickBot="1">
      <c r="A70" s="151"/>
      <c r="B70" s="151">
        <v>4</v>
      </c>
      <c r="C70" s="1022" t="s">
        <v>876</v>
      </c>
      <c r="D70" s="1023"/>
      <c r="E70" s="151"/>
      <c r="F70" s="91"/>
      <c r="G70" s="82"/>
    </row>
    <row r="71" spans="1:9" ht="31.5" customHeight="1" thickBot="1">
      <c r="A71" s="151">
        <v>10</v>
      </c>
      <c r="B71" s="361" t="s">
        <v>110</v>
      </c>
      <c r="C71" s="825" t="s">
        <v>79</v>
      </c>
      <c r="D71" s="826"/>
      <c r="E71" s="511">
        <v>3</v>
      </c>
      <c r="F71" s="91"/>
      <c r="G71" s="822" t="s">
        <v>857</v>
      </c>
      <c r="H71" s="823"/>
      <c r="I71" s="824"/>
    </row>
    <row r="72" spans="1:9" ht="33" customHeight="1">
      <c r="A72" s="151"/>
      <c r="B72" s="361"/>
      <c r="C72" s="322">
        <v>4</v>
      </c>
      <c r="D72" s="497" t="s">
        <v>858</v>
      </c>
      <c r="E72" s="519"/>
      <c r="F72" s="91"/>
      <c r="G72" s="235"/>
      <c r="H72" s="235"/>
      <c r="I72" s="235"/>
    </row>
    <row r="73" spans="1:9" ht="33" customHeight="1">
      <c r="A73" s="151"/>
      <c r="B73" s="361"/>
      <c r="C73" s="322">
        <v>3</v>
      </c>
      <c r="D73" s="497" t="s">
        <v>859</v>
      </c>
      <c r="E73" s="519"/>
      <c r="F73" s="91"/>
      <c r="G73" s="235"/>
      <c r="H73" s="235"/>
      <c r="I73" s="235"/>
    </row>
    <row r="74" spans="1:9" ht="33" customHeight="1">
      <c r="A74" s="151"/>
      <c r="B74" s="361"/>
      <c r="C74" s="322">
        <v>2</v>
      </c>
      <c r="D74" s="497" t="s">
        <v>860</v>
      </c>
      <c r="E74" s="519"/>
      <c r="F74" s="91"/>
      <c r="G74" s="235"/>
      <c r="H74" s="235"/>
      <c r="I74" s="235"/>
    </row>
    <row r="75" spans="1:9" ht="31.5" customHeight="1">
      <c r="A75" s="151"/>
      <c r="B75" s="361"/>
      <c r="C75" s="322">
        <v>1</v>
      </c>
      <c r="D75" s="497" t="s">
        <v>861</v>
      </c>
      <c r="E75" s="519"/>
      <c r="F75" s="91"/>
      <c r="G75" s="235"/>
      <c r="H75" s="235"/>
      <c r="I75" s="235"/>
    </row>
    <row r="76" spans="1:9" ht="15.75" thickBot="1">
      <c r="A76" s="151"/>
      <c r="B76" s="151"/>
      <c r="C76" s="835" t="s">
        <v>90</v>
      </c>
      <c r="D76" s="836"/>
      <c r="E76" s="217">
        <f>IF(OR(E71&lt;1,E71&gt;4),"Salah Isi",E71)</f>
        <v>3</v>
      </c>
      <c r="F76" s="91"/>
      <c r="G76" s="82"/>
    </row>
    <row r="77" spans="1:9" ht="15.75" thickBot="1">
      <c r="A77" s="151"/>
      <c r="B77" s="151"/>
      <c r="C77" s="91"/>
      <c r="D77" s="91"/>
      <c r="E77" s="151"/>
      <c r="F77" s="91"/>
      <c r="G77" s="82"/>
    </row>
    <row r="78" spans="1:9" ht="38.25" customHeight="1">
      <c r="A78" s="151">
        <v>11</v>
      </c>
      <c r="B78" s="361" t="s">
        <v>111</v>
      </c>
      <c r="C78" s="825" t="s">
        <v>80</v>
      </c>
      <c r="D78" s="923"/>
      <c r="E78" s="511">
        <v>3</v>
      </c>
      <c r="F78" s="91"/>
      <c r="G78" s="790" t="s">
        <v>866</v>
      </c>
      <c r="H78" s="820"/>
      <c r="I78" s="821"/>
    </row>
    <row r="79" spans="1:9" ht="29.25" customHeight="1">
      <c r="A79" s="151"/>
      <c r="B79" s="151"/>
      <c r="C79" s="317">
        <v>4</v>
      </c>
      <c r="D79" s="497" t="s">
        <v>862</v>
      </c>
      <c r="E79" s="527"/>
      <c r="F79" s="91"/>
      <c r="G79" s="968"/>
      <c r="H79" s="809"/>
      <c r="I79" s="810"/>
    </row>
    <row r="80" spans="1:9" ht="15.75" thickBot="1">
      <c r="A80" s="151"/>
      <c r="B80" s="151"/>
      <c r="C80" s="317">
        <v>3</v>
      </c>
      <c r="D80" s="398" t="s">
        <v>863</v>
      </c>
      <c r="E80" s="526"/>
      <c r="F80" s="91"/>
      <c r="G80" s="802"/>
      <c r="H80" s="803"/>
      <c r="I80" s="804"/>
    </row>
    <row r="81" spans="1:7" ht="25.5">
      <c r="A81" s="151"/>
      <c r="B81" s="151"/>
      <c r="C81" s="317">
        <v>2</v>
      </c>
      <c r="D81" s="497" t="s">
        <v>864</v>
      </c>
      <c r="E81" s="526"/>
      <c r="F81" s="91"/>
      <c r="G81" s="91"/>
    </row>
    <row r="82" spans="1:7" ht="25.5">
      <c r="A82" s="151"/>
      <c r="B82" s="151"/>
      <c r="C82" s="171">
        <v>1</v>
      </c>
      <c r="D82" s="285" t="s">
        <v>865</v>
      </c>
      <c r="E82" s="525"/>
      <c r="F82" s="91"/>
      <c r="G82" s="82"/>
    </row>
    <row r="83" spans="1:7" ht="19.5" customHeight="1" thickBot="1">
      <c r="A83" s="151"/>
      <c r="B83" s="151"/>
      <c r="C83" s="862" t="s">
        <v>90</v>
      </c>
      <c r="D83" s="863"/>
      <c r="E83" s="217">
        <f>IF(OR(E78&lt;1,E78&gt;4),"Salah Isi",E78)</f>
        <v>3</v>
      </c>
      <c r="F83" s="160"/>
      <c r="G83" s="82"/>
    </row>
    <row r="84" spans="1:7">
      <c r="A84" s="151"/>
      <c r="B84" s="151"/>
      <c r="C84" s="91"/>
      <c r="D84" s="91"/>
      <c r="E84" s="151"/>
      <c r="F84" s="91"/>
      <c r="G84" s="82"/>
    </row>
    <row r="85" spans="1:7">
      <c r="A85" s="148"/>
      <c r="B85" s="148"/>
      <c r="C85" s="79"/>
      <c r="D85" s="79"/>
      <c r="E85" s="79"/>
      <c r="F85" s="79"/>
      <c r="G85" s="79"/>
    </row>
    <row r="86" spans="1:7">
      <c r="A86" s="148"/>
      <c r="B86" s="148"/>
      <c r="C86" s="79"/>
      <c r="D86" s="79"/>
      <c r="E86" s="79"/>
      <c r="F86" s="79"/>
      <c r="G86" s="79"/>
    </row>
    <row r="87" spans="1:7">
      <c r="A87" s="148"/>
      <c r="B87" s="148"/>
      <c r="C87" s="79"/>
      <c r="D87" s="79"/>
      <c r="E87" s="79"/>
      <c r="F87" s="79"/>
      <c r="G87" s="79"/>
    </row>
    <row r="88" spans="1:7">
      <c r="A88" s="148"/>
      <c r="B88" s="148"/>
      <c r="C88" s="79"/>
      <c r="D88" s="79"/>
      <c r="E88" s="79"/>
      <c r="F88" s="79"/>
      <c r="G88" s="79"/>
    </row>
    <row r="89" spans="1:7">
      <c r="A89" s="148"/>
      <c r="B89" s="148"/>
      <c r="C89" s="79"/>
      <c r="D89" s="79"/>
      <c r="E89" s="79"/>
      <c r="F89" s="79"/>
      <c r="G89" s="79"/>
    </row>
    <row r="90" spans="1:7">
      <c r="A90" s="148"/>
      <c r="B90" s="148"/>
      <c r="C90" s="79"/>
      <c r="D90" s="79"/>
      <c r="E90" s="79"/>
      <c r="F90" s="79"/>
      <c r="G90" s="79"/>
    </row>
    <row r="91" spans="1:7">
      <c r="A91" s="148"/>
      <c r="B91" s="148"/>
      <c r="C91" s="79"/>
      <c r="D91" s="79"/>
      <c r="E91" s="79"/>
      <c r="F91" s="79"/>
      <c r="G91" s="79"/>
    </row>
    <row r="92" spans="1:7">
      <c r="A92" s="148"/>
      <c r="B92" s="148"/>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sheetData>
  <sheetProtection sheet="1" objects="1" scenarios="1" formatColumns="0" formatRows="0" selectLockedCells="1"/>
  <mergeCells count="40">
    <mergeCell ref="C83:D83"/>
    <mergeCell ref="C27:D27"/>
    <mergeCell ref="C32:D32"/>
    <mergeCell ref="C46:D46"/>
    <mergeCell ref="G3:I3"/>
    <mergeCell ref="C3:D3"/>
    <mergeCell ref="C54:D54"/>
    <mergeCell ref="C76:D76"/>
    <mergeCell ref="C68:D68"/>
    <mergeCell ref="C61:D61"/>
    <mergeCell ref="C71:D71"/>
    <mergeCell ref="C78:D78"/>
    <mergeCell ref="C63:D63"/>
    <mergeCell ref="G56:I56"/>
    <mergeCell ref="C70:D70"/>
    <mergeCell ref="G63:I64"/>
    <mergeCell ref="A1:J2"/>
    <mergeCell ref="G71:I71"/>
    <mergeCell ref="G78:I80"/>
    <mergeCell ref="C4:D4"/>
    <mergeCell ref="C12:D12"/>
    <mergeCell ref="C49:D49"/>
    <mergeCell ref="C10:D10"/>
    <mergeCell ref="C19:D19"/>
    <mergeCell ref="G19:I19"/>
    <mergeCell ref="G27:I27"/>
    <mergeCell ref="G41:I41"/>
    <mergeCell ref="G49:I49"/>
    <mergeCell ref="C17:D17"/>
    <mergeCell ref="C34:D34"/>
    <mergeCell ref="G34:I35"/>
    <mergeCell ref="C56:D56"/>
    <mergeCell ref="C48:D48"/>
    <mergeCell ref="C39:D39"/>
    <mergeCell ref="C41:D41"/>
    <mergeCell ref="C5:D5"/>
    <mergeCell ref="G5:I5"/>
    <mergeCell ref="G12:I12"/>
    <mergeCell ref="C20:D20"/>
    <mergeCell ref="G20:I21"/>
  </mergeCells>
  <phoneticPr fontId="35" type="noConversion"/>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Sheet6"/>
  <dimension ref="A1:P143"/>
  <sheetViews>
    <sheetView workbookViewId="0">
      <selection activeCell="D6" sqref="D6"/>
    </sheetView>
  </sheetViews>
  <sheetFormatPr defaultRowHeight="15"/>
  <cols>
    <col min="1" max="1" width="5.140625" style="3" customWidth="1"/>
    <col min="2" max="2" width="7.5703125" style="7" customWidth="1"/>
    <col min="3" max="3" width="29.28515625" style="3" customWidth="1"/>
    <col min="4" max="4" width="30.42578125" style="3" customWidth="1"/>
    <col min="5" max="5" width="14.85546875" style="3" customWidth="1"/>
  </cols>
  <sheetData>
    <row r="1" spans="1:16" ht="34.5" customHeight="1">
      <c r="A1" s="1025" t="s">
        <v>891</v>
      </c>
      <c r="B1" s="1025"/>
      <c r="C1" s="1025"/>
      <c r="D1" s="1025"/>
      <c r="E1" s="1025"/>
    </row>
    <row r="2" spans="1:16" ht="34.5" customHeight="1">
      <c r="A2" s="15"/>
    </row>
    <row r="3" spans="1:16" ht="53.25" customHeight="1">
      <c r="A3" s="1026" t="s">
        <v>996</v>
      </c>
      <c r="B3" s="1027"/>
      <c r="C3" s="1027"/>
      <c r="D3" s="1027"/>
      <c r="E3" s="1027"/>
      <c r="F3" s="99"/>
      <c r="G3" s="99"/>
      <c r="H3" s="99"/>
      <c r="I3" s="99"/>
      <c r="J3" s="228"/>
      <c r="K3" s="99"/>
      <c r="L3" s="99"/>
      <c r="M3" s="99"/>
      <c r="N3" s="99"/>
      <c r="O3" s="99"/>
    </row>
    <row r="4" spans="1:16" ht="48.75" customHeight="1" thickBot="1">
      <c r="A4" s="1033" t="s">
        <v>81</v>
      </c>
      <c r="B4" s="1033"/>
      <c r="C4" s="1033"/>
      <c r="D4" s="1033"/>
      <c r="E4" s="1033"/>
      <c r="F4" s="38"/>
      <c r="G4" s="38"/>
      <c r="H4" s="38"/>
      <c r="I4" s="38"/>
      <c r="J4" s="38"/>
      <c r="K4" s="38"/>
      <c r="L4" s="38"/>
      <c r="M4" s="38"/>
      <c r="N4" s="38"/>
      <c r="O4" s="38"/>
      <c r="P4" s="38"/>
    </row>
    <row r="5" spans="1:16" ht="65.25" customHeight="1" thickBot="1">
      <c r="A5" s="107" t="s">
        <v>41</v>
      </c>
      <c r="B5" s="108" t="s">
        <v>890</v>
      </c>
      <c r="C5" s="108" t="s">
        <v>892</v>
      </c>
      <c r="D5" s="108" t="s">
        <v>893</v>
      </c>
      <c r="E5" s="109" t="s">
        <v>13</v>
      </c>
    </row>
    <row r="6" spans="1:16" ht="18" customHeight="1">
      <c r="A6" s="113">
        <f>'F1'!A12</f>
        <v>1</v>
      </c>
      <c r="B6" s="105">
        <f>'F1'!B12</f>
        <v>1.1000000000000001</v>
      </c>
      <c r="C6" s="106" t="str">
        <f>'F1'!D12</f>
        <v>Visi, misi jelas …</v>
      </c>
      <c r="D6" s="175" t="s">
        <v>134</v>
      </c>
      <c r="E6" s="200" t="s">
        <v>128</v>
      </c>
    </row>
    <row r="7" spans="1:16" ht="18" customHeight="1">
      <c r="A7" s="113">
        <f>'F1'!A13</f>
        <v>2</v>
      </c>
      <c r="B7" s="105">
        <f>'F1'!B13</f>
        <v>1.2</v>
      </c>
      <c r="C7" s="106" t="str">
        <f>'F1'!D13</f>
        <v>dsfsd</v>
      </c>
      <c r="D7" s="203" t="s">
        <v>135</v>
      </c>
      <c r="E7" s="201"/>
    </row>
    <row r="8" spans="1:16" ht="18" customHeight="1">
      <c r="A8" s="113">
        <f>'F1'!A14</f>
        <v>3</v>
      </c>
      <c r="B8" s="105" t="str">
        <f>'F1'!B14</f>
        <v>1.3.1</v>
      </c>
      <c r="C8" s="106" t="str">
        <f>'F1'!D14</f>
        <v>sfd</v>
      </c>
      <c r="D8" s="122"/>
      <c r="E8" s="201"/>
    </row>
    <row r="9" spans="1:16" ht="18" customHeight="1">
      <c r="A9" s="113">
        <f>'F1'!A15</f>
        <v>4</v>
      </c>
      <c r="B9" s="105" t="str">
        <f>'F1'!B15</f>
        <v>1.3.2</v>
      </c>
      <c r="C9" s="106" t="str">
        <f>'F1'!D15</f>
        <v>sdfd</v>
      </c>
      <c r="D9" s="122"/>
      <c r="E9" s="201"/>
    </row>
    <row r="10" spans="1:16" ht="18" customHeight="1">
      <c r="A10" s="113">
        <f>'F1'!A16</f>
        <v>5</v>
      </c>
      <c r="B10" s="105" t="str">
        <f>'F1'!B16</f>
        <v>2.1.1</v>
      </c>
      <c r="C10" s="106" t="str">
        <f>'F1'!D16</f>
        <v>dsfs</v>
      </c>
      <c r="D10" s="122"/>
      <c r="E10" s="201"/>
    </row>
    <row r="11" spans="1:16" ht="18" customHeight="1">
      <c r="A11" s="113">
        <f>'F1'!A17</f>
        <v>6</v>
      </c>
      <c r="B11" s="105" t="str">
        <f>'F1'!B17</f>
        <v>2.1.2</v>
      </c>
      <c r="C11" s="106" t="str">
        <f>'F1'!D17</f>
        <v>ghgj</v>
      </c>
      <c r="D11" s="122"/>
      <c r="E11" s="201"/>
    </row>
    <row r="12" spans="1:16" ht="18" customHeight="1">
      <c r="A12" s="113">
        <f>'F1'!A18</f>
        <v>7</v>
      </c>
      <c r="B12" s="105" t="str">
        <f>'F1'!B18</f>
        <v>2.1.3</v>
      </c>
      <c r="C12" s="106" t="str">
        <f>'F1'!D18</f>
        <v>sdf</v>
      </c>
      <c r="D12" s="122"/>
      <c r="E12" s="201"/>
    </row>
    <row r="13" spans="1:16" ht="18" customHeight="1">
      <c r="A13" s="113">
        <f>'F1'!A19</f>
        <v>8</v>
      </c>
      <c r="B13" s="105">
        <f>'F1'!B19</f>
        <v>2.2000000000000002</v>
      </c>
      <c r="C13" s="106" t="str">
        <f>'F1'!D19</f>
        <v>sd</v>
      </c>
      <c r="D13" s="122"/>
      <c r="E13" s="201"/>
    </row>
    <row r="14" spans="1:16" ht="18" customHeight="1">
      <c r="A14" s="113">
        <f>'F1'!A20</f>
        <v>9</v>
      </c>
      <c r="B14" s="105" t="str">
        <f>'F1'!B20</f>
        <v>2.3.1</v>
      </c>
      <c r="C14" s="106" t="str">
        <f>'F1'!D20</f>
        <v>sdf</v>
      </c>
      <c r="D14" s="122"/>
      <c r="E14" s="201"/>
    </row>
    <row r="15" spans="1:16" ht="18" customHeight="1">
      <c r="A15" s="113">
        <f>'F1'!A21</f>
        <v>10</v>
      </c>
      <c r="B15" s="105" t="str">
        <f>'F1'!B21</f>
        <v>2.3.2</v>
      </c>
      <c r="C15" s="106">
        <f>'F1'!D21</f>
        <v>0</v>
      </c>
      <c r="D15" s="122"/>
      <c r="E15" s="201"/>
    </row>
    <row r="16" spans="1:16" ht="19.5" customHeight="1">
      <c r="A16" s="113">
        <f>'F1'!A22</f>
        <v>11</v>
      </c>
      <c r="B16" s="105" t="str">
        <f>'F1'!B22</f>
        <v>2.3.3</v>
      </c>
      <c r="C16" s="106" t="str">
        <f>'F1'!D22</f>
        <v>sdf</v>
      </c>
      <c r="D16" s="122"/>
      <c r="E16" s="201"/>
    </row>
    <row r="17" spans="1:5" ht="18" customHeight="1">
      <c r="A17" s="113">
        <f>'F1'!A23</f>
        <v>12</v>
      </c>
      <c r="B17" s="105" t="str">
        <f>'F1'!B23</f>
        <v>2.3.4</v>
      </c>
      <c r="C17" s="106" t="str">
        <f>'F1'!D23</f>
        <v>sdf</v>
      </c>
      <c r="D17" s="122"/>
      <c r="E17" s="201"/>
    </row>
    <row r="18" spans="1:5" ht="18" customHeight="1">
      <c r="A18" s="113">
        <f>'F1'!A24</f>
        <v>13</v>
      </c>
      <c r="B18" s="105" t="str">
        <f>'F1'!B24</f>
        <v>2.3.5</v>
      </c>
      <c r="C18" s="106">
        <f>'F1'!D24</f>
        <v>0</v>
      </c>
      <c r="D18" s="122"/>
      <c r="E18" s="201"/>
    </row>
    <row r="19" spans="1:5" ht="18" customHeight="1">
      <c r="A19" s="113">
        <f>'F1'!A25</f>
        <v>14</v>
      </c>
      <c r="B19" s="105" t="str">
        <f>'F1'!B25</f>
        <v>2.4.1</v>
      </c>
      <c r="C19" s="106">
        <f>'F1'!D25</f>
        <v>0</v>
      </c>
      <c r="D19" s="122"/>
      <c r="E19" s="201"/>
    </row>
    <row r="20" spans="1:5" ht="18" customHeight="1">
      <c r="A20" s="113">
        <f>'F1'!A26</f>
        <v>15</v>
      </c>
      <c r="B20" s="105" t="str">
        <f>'F1'!B26</f>
        <v>2.4.2</v>
      </c>
      <c r="C20" s="106" t="str">
        <f>'F1'!D26</f>
        <v>aaa</v>
      </c>
      <c r="D20" s="122"/>
      <c r="E20" s="201"/>
    </row>
    <row r="21" spans="1:5" ht="108.75" customHeight="1">
      <c r="A21" s="113">
        <f>'F1'!A27</f>
        <v>16</v>
      </c>
      <c r="B21" s="105" t="str">
        <f>'F1'!B27</f>
        <v>2.4.3</v>
      </c>
      <c r="C21" s="106">
        <f>'F1'!D27</f>
        <v>0</v>
      </c>
      <c r="D21" s="122"/>
      <c r="E21" s="201"/>
    </row>
    <row r="22" spans="1:5" ht="18" customHeight="1">
      <c r="A22" s="113">
        <f>'F1'!A28</f>
        <v>17</v>
      </c>
      <c r="B22" s="105" t="str">
        <f>'F1'!B28</f>
        <v>2.4.4</v>
      </c>
      <c r="C22" s="106">
        <f>'F1'!D28</f>
        <v>0</v>
      </c>
      <c r="D22" s="122"/>
      <c r="E22" s="201"/>
    </row>
    <row r="23" spans="1:5" ht="18" customHeight="1">
      <c r="A23" s="113">
        <f>'F1'!A29</f>
        <v>18</v>
      </c>
      <c r="B23" s="105" t="str">
        <f>'F1'!B29</f>
        <v>2.4.5</v>
      </c>
      <c r="C23" s="106" t="str">
        <f>'F1'!D29</f>
        <v>sdf</v>
      </c>
      <c r="D23" s="122"/>
      <c r="E23" s="201"/>
    </row>
    <row r="24" spans="1:5" ht="57.75" customHeight="1">
      <c r="A24" s="113">
        <f>'F1'!A30</f>
        <v>19</v>
      </c>
      <c r="B24" s="105" t="str">
        <f>'F1'!B30</f>
        <v>2.4.6</v>
      </c>
      <c r="C24" s="106" t="str">
        <f>'F1'!D30</f>
        <v>Jumlah program studi dengan status akreditasi A = 3, B = 0, C = 0, kadaluwarsa = 0, dan belum terakreditasi = 0. tempat menambahkan komentar tambahan</v>
      </c>
      <c r="D24" s="122"/>
      <c r="E24" s="201"/>
    </row>
    <row r="25" spans="1:5" ht="18" customHeight="1">
      <c r="A25" s="113">
        <f>'F1'!A31</f>
        <v>20</v>
      </c>
      <c r="B25" s="105" t="str">
        <f>'F1'!B31</f>
        <v>3.1.1</v>
      </c>
      <c r="C25" s="106" t="str">
        <f>'F1'!D31</f>
        <v>ytj</v>
      </c>
      <c r="D25" s="122"/>
      <c r="E25" s="201"/>
    </row>
    <row r="26" spans="1:5" ht="18" customHeight="1">
      <c r="A26" s="113">
        <f>'F1'!A32</f>
        <v>21</v>
      </c>
      <c r="B26" s="105" t="str">
        <f>'F1'!B32</f>
        <v>3.1.2</v>
      </c>
      <c r="C26" s="106" t="str">
        <f>'F1'!D32</f>
        <v>qw</v>
      </c>
      <c r="D26" s="122"/>
      <c r="E26" s="201"/>
    </row>
    <row r="27" spans="1:5" ht="18" customHeight="1">
      <c r="A27" s="113">
        <f>'F1'!A33</f>
        <v>22</v>
      </c>
      <c r="B27" s="105" t="str">
        <f>'F1'!B33</f>
        <v>3.1.3</v>
      </c>
      <c r="C27" s="106" t="str">
        <f>'F1'!D33</f>
        <v>ty</v>
      </c>
      <c r="D27" s="122"/>
      <c r="E27" s="201"/>
    </row>
    <row r="28" spans="1:5" ht="18" customHeight="1">
      <c r="A28" s="113">
        <f>'F1'!A34</f>
        <v>23</v>
      </c>
      <c r="B28" s="105" t="str">
        <f>'F1'!B34</f>
        <v>3.1.4</v>
      </c>
      <c r="C28" s="106" t="str">
        <f>'F1'!D34</f>
        <v>Jumlah propinsi asal mahasiswa = 7. tyr</v>
      </c>
      <c r="D28" s="122"/>
      <c r="E28" s="201"/>
    </row>
    <row r="29" spans="1:5" ht="18" customHeight="1">
      <c r="A29" s="113">
        <f>'F1'!A35</f>
        <v>24</v>
      </c>
      <c r="B29" s="105" t="str">
        <f>'F1'!B35</f>
        <v>3.1.5.1</v>
      </c>
      <c r="C29" s="106" t="str">
        <f>'F1'!D35</f>
        <v>Jumlah mahasiswa dari semua jenjang pendidikan yang ikut seleksi (Kolom 3) =16420, Jumlah mahasiswa lulus seleksi (Kolom 4) = 300, sehingga rasio =54.73. 123</v>
      </c>
      <c r="D29" s="122"/>
      <c r="E29" s="201"/>
    </row>
    <row r="30" spans="1:5" ht="18" customHeight="1">
      <c r="A30" s="113">
        <f>'F1'!A36</f>
        <v>25</v>
      </c>
      <c r="B30" s="105" t="str">
        <f>'F1'!B36</f>
        <v>3.1.5.2</v>
      </c>
      <c r="C30" s="106" t="str">
        <f>'F1'!D36</f>
        <v>Jumlah mahasiswa dari semua jenjang pendidikan yang lulus seleksi (Kolom 4)= 300, Jumlah mahasiswa baru bukan transfer dari semua jenjang pendidikan (Kolom 5) = 10492, sehingga rasio = 34.97. ban</v>
      </c>
      <c r="D30" s="122"/>
      <c r="E30" s="201"/>
    </row>
    <row r="31" spans="1:5" ht="18" customHeight="1">
      <c r="A31" s="113">
        <f>'F1'!A37</f>
        <v>26</v>
      </c>
      <c r="B31" s="105" t="str">
        <f>'F1'!B37</f>
        <v>3.1.5.3</v>
      </c>
      <c r="C31" s="106" t="str">
        <f>'F1'!D37</f>
        <v>Jumlah mahasiswa baru bukan transfer dari semua jenjang pendidikan (Kolom 5)= 10492, Jumlah mahasiswa baru  transfer dari semua jenjang pendidikan (Kolom 6) = 40, sehingga rasio = 0. ban</v>
      </c>
      <c r="D31" s="122"/>
      <c r="E31" s="201"/>
    </row>
    <row r="32" spans="1:5" ht="18" customHeight="1">
      <c r="A32" s="113">
        <f>'F1'!A38</f>
        <v>27</v>
      </c>
      <c r="B32" s="105" t="str">
        <f>'F1'!B38</f>
        <v>3.1.6</v>
      </c>
      <c r="C32" s="106" t="str">
        <f>'F1'!D38</f>
        <v>yuk</v>
      </c>
      <c r="D32" s="122"/>
      <c r="E32" s="201"/>
    </row>
    <row r="33" spans="1:5" ht="18" customHeight="1">
      <c r="A33" s="113">
        <f>'F1'!A39</f>
        <v>28</v>
      </c>
      <c r="B33" s="105" t="str">
        <f>'F1'!B39</f>
        <v>3.1.7</v>
      </c>
      <c r="C33" s="106" t="str">
        <f>'F1'!D39</f>
        <v>yuk</v>
      </c>
      <c r="D33" s="122"/>
      <c r="E33" s="201"/>
    </row>
    <row r="34" spans="1:5" ht="18" customHeight="1">
      <c r="A34" s="113">
        <f>'F1'!A40</f>
        <v>29</v>
      </c>
      <c r="B34" s="105" t="str">
        <f>'F1'!B40</f>
        <v>3.1.8</v>
      </c>
      <c r="C34" s="106" t="str">
        <f>'F1'!D40</f>
        <v>uytit</v>
      </c>
      <c r="D34" s="122"/>
      <c r="E34" s="201"/>
    </row>
    <row r="35" spans="1:5" ht="18" customHeight="1">
      <c r="A35" s="113">
        <f>'F1'!A41</f>
        <v>30</v>
      </c>
      <c r="B35" s="105" t="str">
        <f>'F1'!B41</f>
        <v>3.1.9</v>
      </c>
      <c r="C35" s="106" t="str">
        <f>'F1'!D41</f>
        <v>reter</v>
      </c>
      <c r="D35" s="122"/>
      <c r="E35" s="201"/>
    </row>
    <row r="36" spans="1:5" ht="18" customHeight="1">
      <c r="A36" s="113">
        <f>'F1'!A42</f>
        <v>31</v>
      </c>
      <c r="B36" s="105" t="str">
        <f>'F1'!B42</f>
        <v>3.1.10</v>
      </c>
      <c r="C36" s="106" t="str">
        <f>'F1'!D42</f>
        <v>erger</v>
      </c>
      <c r="D36" s="122"/>
      <c r="E36" s="201"/>
    </row>
    <row r="37" spans="1:5" ht="18" customHeight="1">
      <c r="A37" s="113">
        <f>'F1'!A43</f>
        <v>32</v>
      </c>
      <c r="B37" s="105" t="str">
        <f>'F1'!B43</f>
        <v>3.1.11</v>
      </c>
      <c r="C37" s="106" t="str">
        <f>'F1'!D43</f>
        <v>Jumlah penghargaan tingkat propinsi/wilayah = 0, Jumlah penghargaan tingkat nasional = 4, Jumlah penghargaan tingkat internasional = 0, Jumlah semua program studi = 5, sehingga skor = 2.4. ban</v>
      </c>
      <c r="D37" s="122"/>
      <c r="E37" s="201"/>
    </row>
    <row r="38" spans="1:5" ht="18" customHeight="1">
      <c r="A38" s="113">
        <f>'F1'!A44</f>
        <v>33</v>
      </c>
      <c r="B38" s="105" t="str">
        <f>'F1'!B44</f>
        <v>3.1.12</v>
      </c>
      <c r="C38" s="106" t="str">
        <f>'F1'!D44</f>
        <v>ergre</v>
      </c>
      <c r="D38" s="122"/>
      <c r="E38" s="201"/>
    </row>
    <row r="39" spans="1:5" ht="18" customHeight="1">
      <c r="A39" s="113">
        <f>'F1'!A45</f>
        <v>34</v>
      </c>
      <c r="B39" s="105" t="str">
        <f>'F1'!B45</f>
        <v>3.2.1.1</v>
      </c>
      <c r="C39" s="106" t="str">
        <f>'F1'!D45</f>
        <v>ertge</v>
      </c>
      <c r="D39" s="122"/>
      <c r="E39" s="201"/>
    </row>
    <row r="40" spans="1:5" ht="18" customHeight="1">
      <c r="A40" s="113">
        <f>'F1'!A46</f>
        <v>35</v>
      </c>
      <c r="B40" s="105" t="str">
        <f>'F1'!B46</f>
        <v>3.2.1.2</v>
      </c>
      <c r="C40" s="106" t="str">
        <f>'F1'!D46</f>
        <v>ewf</v>
      </c>
      <c r="D40" s="122"/>
      <c r="E40" s="201"/>
    </row>
    <row r="41" spans="1:5" ht="70.5" customHeight="1">
      <c r="A41" s="113">
        <f>'F1'!A47</f>
        <v>36</v>
      </c>
      <c r="B41" s="105" t="str">
        <f>'F1'!B47</f>
        <v>3.2.2.1</v>
      </c>
      <c r="C41" s="106" t="str">
        <f>'F1'!D47</f>
        <v>Rata-rata lama studi lulusan S3 = 0 tahun, S2 = 0 tahun, S1 = 5.04 tahun, D4 = 0 tahun, D3 = 0 tahun, D2 = 0 tahun, D1 = 0 tahun</v>
      </c>
      <c r="D41" s="122"/>
      <c r="E41" s="201"/>
    </row>
    <row r="42" spans="1:5" ht="45.75" customHeight="1">
      <c r="A42" s="113">
        <f>'F1'!A48</f>
        <v>37</v>
      </c>
      <c r="B42" s="105" t="str">
        <f>'F1'!B48</f>
        <v>3.2.2.2</v>
      </c>
      <c r="C42" s="106" t="str">
        <f>'F1'!D48</f>
        <v>Rata-rata IPK lulusan S3 = 0, S2 = 0, S1 = 2.96, D4 = 0, D3 = 3.13, D2 = 0, D1 = 0</v>
      </c>
      <c r="D42" s="122"/>
      <c r="E42" s="201"/>
    </row>
    <row r="43" spans="1:5" ht="189" customHeight="1">
      <c r="A43" s="113">
        <f>'F1'!A49</f>
        <v>38</v>
      </c>
      <c r="B43" s="105" t="str">
        <f>'F1'!B49</f>
        <v>3.2.3</v>
      </c>
      <c r="C43" s="106" t="str">
        <f>'F1'!D49</f>
        <v xml:space="preserve">test </v>
      </c>
      <c r="D43" s="122"/>
      <c r="E43" s="201"/>
    </row>
    <row r="44" spans="1:5" ht="18" customHeight="1">
      <c r="A44" s="113">
        <f>'F1'!A50</f>
        <v>39</v>
      </c>
      <c r="B44" s="105" t="str">
        <f>'F1'!B50</f>
        <v>3.2.4</v>
      </c>
      <c r="C44" s="106" t="str">
        <f>'F1'!D50</f>
        <v xml:space="preserve">Banyaknya alumni tiga tahun terakhir yang memberikan respon = 50,Banyaknya alumni dalam tiga tahun terakhir = 200, sehingga rasio = 0.25. </v>
      </c>
      <c r="D44" s="122"/>
      <c r="E44" s="201"/>
    </row>
    <row r="45" spans="1:5" ht="18" customHeight="1">
      <c r="A45" s="113">
        <f>'F1'!A51</f>
        <v>40</v>
      </c>
      <c r="B45" s="105" t="str">
        <f>'F1'!B51</f>
        <v>3.2.5</v>
      </c>
      <c r="C45" s="106" t="str">
        <f>'F1'!D51</f>
        <v>we</v>
      </c>
      <c r="D45" s="122"/>
      <c r="E45" s="201"/>
    </row>
    <row r="46" spans="1:5" ht="121.5" customHeight="1">
      <c r="A46" s="113">
        <f>'F1'!A52</f>
        <v>41</v>
      </c>
      <c r="B46" s="105">
        <f>'F1'!B52</f>
        <v>4.0999999999999996</v>
      </c>
      <c r="C46" s="106" t="str">
        <f>'F1'!D52</f>
        <v xml:space="preserve">AAAA </v>
      </c>
      <c r="D46" s="122"/>
      <c r="E46" s="201"/>
    </row>
    <row r="47" spans="1:5" ht="18" customHeight="1">
      <c r="A47" s="113">
        <f>'F1'!A53</f>
        <v>42</v>
      </c>
      <c r="B47" s="105" t="str">
        <f>'F1'!B53</f>
        <v>4.2.1</v>
      </c>
      <c r="C47" s="106" t="str">
        <f>'F1'!D53</f>
        <v>werw</v>
      </c>
      <c r="D47" s="122"/>
      <c r="E47" s="201"/>
    </row>
    <row r="48" spans="1:5" ht="85.5" customHeight="1">
      <c r="A48" s="113">
        <f>'F1'!A54</f>
        <v>43</v>
      </c>
      <c r="B48" s="105" t="str">
        <f>'F1'!B54</f>
        <v>4.2.2</v>
      </c>
      <c r="C48" s="106" t="str">
        <f>'F1'!D54</f>
        <v xml:space="preserve">rrrrr </v>
      </c>
      <c r="D48" s="122"/>
      <c r="E48" s="201"/>
    </row>
    <row r="49" spans="1:5" ht="18" customHeight="1">
      <c r="A49" s="113">
        <f>'F1'!A55</f>
        <v>44</v>
      </c>
      <c r="B49" s="105" t="str">
        <f>'F1'!B55</f>
        <v>4.3.1.1</v>
      </c>
      <c r="C49" s="106" t="str">
        <f>'F1'!D55</f>
        <v>Jumlah mahasiswa pada TS = 1100, Jumlah dosen tetap = 51, sehingga rasio = 21.57. rrrrr</v>
      </c>
      <c r="D49" s="122"/>
      <c r="E49" s="201"/>
    </row>
    <row r="50" spans="1:5" ht="18" customHeight="1">
      <c r="A50" s="113">
        <f>'F1'!A56</f>
        <v>45</v>
      </c>
      <c r="B50" s="105" t="str">
        <f>'F1'!B56</f>
        <v>4.3.1.2</v>
      </c>
      <c r="C50" s="106" t="str">
        <f>'F1'!D56</f>
        <v>Jumlah dosen tetap yang berpendidikan doktor/Sp-2 = 0, Jumlah dosen tetap = 51, sehingga persentase dosen tetap berpendidikan doktor/Sp-2 = 0%. rrrrr</v>
      </c>
      <c r="D50" s="122"/>
      <c r="E50" s="201"/>
    </row>
    <row r="51" spans="1:5" ht="18" customHeight="1">
      <c r="A51" s="113">
        <f>'F1'!A57</f>
        <v>46</v>
      </c>
      <c r="B51" s="105" t="str">
        <f>'F1'!B57</f>
        <v>4.3.1.3</v>
      </c>
      <c r="C51" s="106" t="str">
        <f>'F1'!D57</f>
        <v>Persentase dosen dengan jabatan guru besar = 0%, Persentase dosen dengan jabatan lektor kepala = 0%. rrrrr</v>
      </c>
      <c r="D51" s="122"/>
      <c r="E51" s="201"/>
    </row>
    <row r="52" spans="1:5" ht="18" customHeight="1">
      <c r="A52" s="113">
        <f>'F1'!A58</f>
        <v>47</v>
      </c>
      <c r="B52" s="105" t="str">
        <f>'F1'!B58</f>
        <v>4.3.2</v>
      </c>
      <c r="C52" s="106" t="str">
        <f>'F1'!D58</f>
        <v>Jumlah dosen tidak tetap = 10, Jumlah seluruh dosen (tetap + tidak tetap) =500, sehingga persentase jumlah dosen tidak tetap terhadap jumlah seluruh dosen = 2%. rrrrr</v>
      </c>
      <c r="D52" s="122"/>
      <c r="E52" s="201"/>
    </row>
    <row r="53" spans="1:5" ht="18" customHeight="1">
      <c r="A53" s="113">
        <f>'F1'!A59</f>
        <v>48</v>
      </c>
      <c r="B53" s="105">
        <f>'F1'!B59</f>
        <v>4.4000000000000004</v>
      </c>
      <c r="C53" s="106" t="str">
        <f>'F1'!D59</f>
        <v>Banyaknya dosen yang mengikuti pendidikan tanpa gelar = 5, Banyaknya dosen yang mengikuti pendidikan S2/Sp-1 = 20, Banyaknya dosen yang mengikuti pendidikan S3/Sp-2 = 15, banyaknya prodi = 3 maka skor SP = 11.67. rrrrr</v>
      </c>
      <c r="D53" s="122"/>
      <c r="E53" s="201"/>
    </row>
    <row r="54" spans="1:5" ht="18" customHeight="1">
      <c r="A54" s="113">
        <f>'F1'!A60</f>
        <v>49</v>
      </c>
      <c r="B54" s="105" t="str">
        <f>'F1'!B60</f>
        <v>4.5.1.1</v>
      </c>
      <c r="C54" s="106" t="str">
        <f>'F1'!D60</f>
        <v>Jumlah pustakawan yang berpendidikan S2/S3/Special Librarian = 0, Jumlah pustakawan yang berpendidikan D4 atau S1 = 2, Jumlah pustakawan yang berpendidikan D1, D2, atau D3 = 2 sehingga skor A = 2.5. rrrrr</v>
      </c>
      <c r="D54" s="122"/>
      <c r="E54" s="201"/>
    </row>
    <row r="55" spans="1:5" ht="18" customHeight="1">
      <c r="A55" s="113">
        <f>'F1'!A61</f>
        <v>50</v>
      </c>
      <c r="B55" s="105" t="str">
        <f>'F1'!B61</f>
        <v>4.5.1.2</v>
      </c>
      <c r="C55" s="106" t="str">
        <f>'F1'!D61</f>
        <v>4w22</v>
      </c>
      <c r="D55" s="122"/>
      <c r="E55" s="201"/>
    </row>
    <row r="56" spans="1:5" ht="18" customHeight="1">
      <c r="A56" s="113">
        <f>'F1'!A62</f>
        <v>51</v>
      </c>
      <c r="B56" s="105" t="str">
        <f>'F1'!B62</f>
        <v>4.5.1.3</v>
      </c>
      <c r="C56" s="106" t="str">
        <f>'F1'!D62</f>
        <v>wr3e</v>
      </c>
      <c r="D56" s="122"/>
      <c r="E56" s="201"/>
    </row>
    <row r="57" spans="1:5" ht="18" customHeight="1">
      <c r="A57" s="113">
        <f>'F1'!A63</f>
        <v>52</v>
      </c>
      <c r="B57" s="105" t="str">
        <f>'F1'!B63</f>
        <v>4.5.1.4</v>
      </c>
      <c r="C57" s="106" t="str">
        <f>'F1'!D63</f>
        <v>Jumlah laboran/teknisi/analis/operator/programer = 10, Jumlah laboran/teknisi/analis/operator/programer yg memiliki sertifikat kompetensi = 1, sehingga persentase =10%. rrrrr</v>
      </c>
      <c r="D57" s="122"/>
      <c r="E57" s="201"/>
    </row>
    <row r="58" spans="1:5" ht="18" customHeight="1">
      <c r="A58" s="113">
        <f>'F1'!A64</f>
        <v>53</v>
      </c>
      <c r="B58" s="105" t="str">
        <f>'F1'!B64</f>
        <v>4.5.2</v>
      </c>
      <c r="C58" s="106" t="str">
        <f>'F1'!D64</f>
        <v>re</v>
      </c>
      <c r="D58" s="122"/>
      <c r="E58" s="201"/>
    </row>
    <row r="59" spans="1:5" ht="18" customHeight="1">
      <c r="A59" s="113">
        <f>'F1'!A65</f>
        <v>54</v>
      </c>
      <c r="B59" s="105" t="str">
        <f>'F1'!B65</f>
        <v>4.6.1</v>
      </c>
      <c r="C59" s="106" t="str">
        <f>'F1'!D65</f>
        <v>erre</v>
      </c>
      <c r="D59" s="122"/>
      <c r="E59" s="201"/>
    </row>
    <row r="60" spans="1:5" ht="18" customHeight="1">
      <c r="A60" s="113">
        <f>'F1'!A66</f>
        <v>55</v>
      </c>
      <c r="B60" s="105" t="str">
        <f>'F1'!B66</f>
        <v>4.6.2</v>
      </c>
      <c r="C60" s="106" t="str">
        <f>'F1'!D66</f>
        <v>dd</v>
      </c>
      <c r="D60" s="122"/>
      <c r="E60" s="201"/>
    </row>
    <row r="61" spans="1:5" ht="18" customHeight="1">
      <c r="A61" s="113">
        <f>'F1'!A67</f>
        <v>56</v>
      </c>
      <c r="B61" s="105" t="str">
        <f>'F1'!B67</f>
        <v>4.6.3</v>
      </c>
      <c r="C61" s="106" t="str">
        <f>'F1'!D67</f>
        <v>asa</v>
      </c>
      <c r="D61" s="122"/>
      <c r="E61" s="201"/>
    </row>
    <row r="62" spans="1:5" ht="18" customHeight="1">
      <c r="A62" s="113">
        <f>'F1'!A68</f>
        <v>57</v>
      </c>
      <c r="B62" s="105" t="str">
        <f>'F1'!B68</f>
        <v>5.1.1</v>
      </c>
      <c r="C62" s="106" t="str">
        <f>'F1'!D68</f>
        <v>ww</v>
      </c>
      <c r="D62" s="122"/>
      <c r="E62" s="201"/>
    </row>
    <row r="63" spans="1:5" ht="18" customHeight="1">
      <c r="A63" s="113">
        <f>'F1'!A69</f>
        <v>58</v>
      </c>
      <c r="B63" s="105" t="str">
        <f>'F1'!B69</f>
        <v>5.1.2</v>
      </c>
      <c r="C63" s="106" t="str">
        <f>'F1'!D69</f>
        <v>hg</v>
      </c>
      <c r="D63" s="122"/>
      <c r="E63" s="201"/>
    </row>
    <row r="64" spans="1:5" ht="18" customHeight="1">
      <c r="A64" s="113">
        <f>'F1'!A70</f>
        <v>59</v>
      </c>
      <c r="B64" s="105" t="str">
        <f>'F1'!B70</f>
        <v>5.2.1</v>
      </c>
      <c r="C64" s="106" t="str">
        <f>'F1'!D70</f>
        <v>w</v>
      </c>
      <c r="D64" s="122"/>
      <c r="E64" s="201"/>
    </row>
    <row r="65" spans="1:5" ht="18" customHeight="1">
      <c r="A65" s="113">
        <f>'F1'!A71</f>
        <v>60</v>
      </c>
      <c r="B65" s="105" t="str">
        <f>'F1'!B71</f>
        <v>5.2.2</v>
      </c>
      <c r="C65" s="106" t="str">
        <f>'F1'!D71</f>
        <v>ff</v>
      </c>
      <c r="D65" s="122"/>
      <c r="E65" s="201"/>
    </row>
    <row r="66" spans="1:5" ht="18" customHeight="1">
      <c r="A66" s="113">
        <f>'F1'!A72</f>
        <v>61</v>
      </c>
      <c r="B66" s="105" t="str">
        <f>'F1'!B72</f>
        <v>5.2.3</v>
      </c>
      <c r="C66" s="106" t="str">
        <f>'F1'!D72</f>
        <v>uu</v>
      </c>
      <c r="D66" s="122"/>
      <c r="E66" s="201"/>
    </row>
    <row r="67" spans="1:5" ht="18" customHeight="1">
      <c r="A67" s="113">
        <f>'F1'!A73</f>
        <v>62</v>
      </c>
      <c r="B67" s="105" t="str">
        <f>'F1'!B73</f>
        <v>5.3.1</v>
      </c>
      <c r="C67" s="106" t="str">
        <f>'F1'!D73</f>
        <v>dd</v>
      </c>
      <c r="D67" s="122"/>
      <c r="E67" s="201"/>
    </row>
    <row r="68" spans="1:5" ht="18" customHeight="1">
      <c r="A68" s="113">
        <f>'F1'!A74</f>
        <v>63</v>
      </c>
      <c r="B68" s="105" t="str">
        <f>'F1'!B74</f>
        <v>5.3.2</v>
      </c>
      <c r="C68" s="106" t="str">
        <f>'F1'!D74</f>
        <v>df</v>
      </c>
      <c r="D68" s="122"/>
      <c r="E68" s="201"/>
    </row>
    <row r="69" spans="1:5" ht="18" customHeight="1">
      <c r="A69" s="113">
        <f>'F1'!A75</f>
        <v>64</v>
      </c>
      <c r="B69" s="105" t="str">
        <f>'F1'!B75</f>
        <v>6.1.1</v>
      </c>
      <c r="C69" s="106" t="str">
        <f>'F1'!D75</f>
        <v>bnb</v>
      </c>
      <c r="D69" s="122"/>
      <c r="E69" s="201"/>
    </row>
    <row r="70" spans="1:5" ht="18" customHeight="1">
      <c r="A70" s="113">
        <f>'F1'!A76</f>
        <v>65</v>
      </c>
      <c r="B70" s="105" t="str">
        <f>'F1'!B76</f>
        <v>6.1.2</v>
      </c>
      <c r="C70" s="106" t="str">
        <f>'F1'!D76</f>
        <v>nmn</v>
      </c>
      <c r="D70" s="122"/>
      <c r="E70" s="201"/>
    </row>
    <row r="71" spans="1:5" ht="18" customHeight="1">
      <c r="A71" s="113">
        <f>'F1'!A77</f>
        <v>66</v>
      </c>
      <c r="B71" s="105" t="str">
        <f>'F1'!B77</f>
        <v>6.1.3</v>
      </c>
      <c r="C71" s="106" t="str">
        <f>'F1'!D77</f>
        <v>df</v>
      </c>
      <c r="D71" s="122"/>
      <c r="E71" s="201"/>
    </row>
    <row r="72" spans="1:5" ht="18" customHeight="1">
      <c r="A72" s="113">
        <f>'F1'!A78</f>
        <v>67</v>
      </c>
      <c r="B72" s="105" t="str">
        <f>'F1'!B78</f>
        <v>6.1.4</v>
      </c>
      <c r="C72" s="106" t="str">
        <f>'F1'!D78</f>
        <v>Jumlah dana yg berasal dari mahasiswa = 30 juta, Jumlah dana total = 100 juta, sehingga persentase dana dr mhs = 30%. aaa</v>
      </c>
      <c r="D72" s="122"/>
      <c r="E72" s="201"/>
    </row>
    <row r="73" spans="1:5" ht="18" customHeight="1">
      <c r="A73" s="113">
        <f>'F1'!A79</f>
        <v>68</v>
      </c>
      <c r="B73" s="105" t="str">
        <f>'F1'!B79</f>
        <v>6.1.5</v>
      </c>
      <c r="C73" s="106" t="str">
        <f>'F1'!D79</f>
        <v>Jumlah dana operasional/mahasiswa/tahun (=DOM) = 13 juta. aaa</v>
      </c>
      <c r="D73" s="122"/>
      <c r="E73" s="201"/>
    </row>
    <row r="74" spans="1:5" ht="18" customHeight="1">
      <c r="A74" s="113">
        <f>'F1'!A80</f>
        <v>69</v>
      </c>
      <c r="B74" s="105" t="str">
        <f>'F1'!B80</f>
        <v>6.1.6</v>
      </c>
      <c r="C74" s="106" t="str">
        <f>'F1'!D80</f>
        <v>Rata-rata dana penelitian/dosen tetap/tahun =3 juta. aaa</v>
      </c>
      <c r="D74" s="122"/>
      <c r="E74" s="201"/>
    </row>
    <row r="75" spans="1:5" ht="18" customHeight="1">
      <c r="A75" s="113">
        <f>'F1'!A81</f>
        <v>70</v>
      </c>
      <c r="B75" s="105" t="str">
        <f>'F1'!B81</f>
        <v>6.1.7</v>
      </c>
      <c r="C75" s="106" t="str">
        <f>'F1'!D81</f>
        <v>Rata-rata dana pelayanan/pengabdian kepada masyarakat /dosen tetap/tahun = 1.5 juta. aaa</v>
      </c>
      <c r="D75" s="122"/>
      <c r="E75" s="201"/>
    </row>
    <row r="76" spans="1:5" ht="18" customHeight="1">
      <c r="A76" s="113">
        <f>'F1'!A82</f>
        <v>71</v>
      </c>
      <c r="B76" s="105" t="str">
        <f>'F1'!B82</f>
        <v>6.1.8</v>
      </c>
      <c r="C76" s="106" t="str">
        <f>'F1'!D82</f>
        <v>wsw</v>
      </c>
      <c r="D76" s="122"/>
      <c r="E76" s="201"/>
    </row>
    <row r="77" spans="1:5" ht="18" customHeight="1">
      <c r="A77" s="113">
        <f>'F1'!A83</f>
        <v>72</v>
      </c>
      <c r="B77" s="105" t="str">
        <f>'F1'!B83</f>
        <v>6.1.9</v>
      </c>
      <c r="C77" s="106" t="str">
        <f>'F1'!D83</f>
        <v>rtrtt</v>
      </c>
      <c r="D77" s="122"/>
      <c r="E77" s="201"/>
    </row>
    <row r="78" spans="1:5" ht="18" customHeight="1">
      <c r="A78" s="113">
        <f>'F1'!A84</f>
        <v>73</v>
      </c>
      <c r="B78" s="105" t="str">
        <f>'F1'!B84</f>
        <v>6.2.1</v>
      </c>
      <c r="C78" s="106" t="str">
        <f>'F1'!D84</f>
        <v>fdfd</v>
      </c>
      <c r="D78" s="122"/>
      <c r="E78" s="201"/>
    </row>
    <row r="79" spans="1:5" ht="18" customHeight="1">
      <c r="A79" s="113">
        <f>'F1'!A85</f>
        <v>74</v>
      </c>
      <c r="B79" s="105" t="str">
        <f>'F1'!B85</f>
        <v>6.2.2</v>
      </c>
      <c r="C79" s="106" t="str">
        <f>'F1'!D85</f>
        <v>fds</v>
      </c>
      <c r="D79" s="122"/>
      <c r="E79" s="201"/>
    </row>
    <row r="80" spans="1:5" ht="18" customHeight="1">
      <c r="A80" s="113">
        <f>'F1'!A86</f>
        <v>75</v>
      </c>
      <c r="B80" s="105" t="str">
        <f>'F1'!B86</f>
        <v>6.2.3</v>
      </c>
      <c r="C80" s="106" t="str">
        <f>'F1'!D86</f>
        <v>bbbb</v>
      </c>
      <c r="D80" s="122"/>
      <c r="E80" s="201"/>
    </row>
    <row r="81" spans="1:5" ht="18" customHeight="1">
      <c r="A81" s="113">
        <f>'F1'!A87</f>
        <v>76</v>
      </c>
      <c r="B81" s="105" t="str">
        <f>'F1'!B87</f>
        <v>6.2.4</v>
      </c>
      <c r="C81" s="106" t="str">
        <f>'F1'!D87</f>
        <v>dvd</v>
      </c>
      <c r="D81" s="122"/>
      <c r="E81" s="201"/>
    </row>
    <row r="82" spans="1:5" ht="18" customHeight="1">
      <c r="A82" s="113">
        <f>'F1'!A88</f>
        <v>77</v>
      </c>
      <c r="B82" s="105" t="str">
        <f>'F1'!B88</f>
        <v>6.2.5</v>
      </c>
      <c r="C82" s="106" t="str">
        <f>'F1'!D88</f>
        <v>sdas</v>
      </c>
      <c r="D82" s="122"/>
      <c r="E82" s="201"/>
    </row>
    <row r="83" spans="1:5" ht="18" customHeight="1">
      <c r="A83" s="113">
        <f>'F1'!A89</f>
        <v>78</v>
      </c>
      <c r="B83" s="105" t="str">
        <f>'F1'!B89</f>
        <v>6.2.6</v>
      </c>
      <c r="C83" s="106" t="str">
        <f>'F1'!D89</f>
        <v>fds</v>
      </c>
      <c r="D83" s="122"/>
      <c r="E83" s="201"/>
    </row>
    <row r="84" spans="1:5" ht="18" customHeight="1">
      <c r="A84" s="113">
        <f>'F1'!A90</f>
        <v>79</v>
      </c>
      <c r="B84" s="105" t="str">
        <f>'F1'!B90</f>
        <v>6.2.7</v>
      </c>
      <c r="C84" s="106" t="str">
        <f>'F1'!D90</f>
        <v>asa</v>
      </c>
      <c r="D84" s="122"/>
      <c r="E84" s="201"/>
    </row>
    <row r="85" spans="1:5" ht="18" customHeight="1">
      <c r="A85" s="113">
        <f>'F1'!A91</f>
        <v>80</v>
      </c>
      <c r="B85" s="105" t="str">
        <f>'F1'!B91</f>
        <v>6.3.1</v>
      </c>
      <c r="C85" s="106" t="str">
        <f>'F1'!D91</f>
        <v>jtyjyu</v>
      </c>
      <c r="D85" s="122"/>
      <c r="E85" s="201"/>
    </row>
    <row r="86" spans="1:5" ht="18" customHeight="1">
      <c r="A86" s="113">
        <f>'F1'!A92</f>
        <v>81</v>
      </c>
      <c r="B86" s="105" t="str">
        <f>'F1'!B92</f>
        <v>6.3.2</v>
      </c>
      <c r="C86" s="106" t="str">
        <f>'F1'!D92</f>
        <v>thg</v>
      </c>
      <c r="D86" s="122"/>
      <c r="E86" s="201"/>
    </row>
    <row r="87" spans="1:5" ht="18" customHeight="1">
      <c r="A87" s="113">
        <f>'F1'!A93</f>
        <v>82</v>
      </c>
      <c r="B87" s="105" t="str">
        <f>'F1'!B93</f>
        <v>6.3.3</v>
      </c>
      <c r="C87" s="106" t="str">
        <f>'F1'!D93</f>
        <v>rt</v>
      </c>
      <c r="D87" s="122"/>
      <c r="E87" s="201"/>
    </row>
    <row r="88" spans="1:5" ht="18" customHeight="1">
      <c r="A88" s="113">
        <f>'F1'!A94</f>
        <v>83</v>
      </c>
      <c r="B88" s="105" t="str">
        <f>'F1'!B94</f>
        <v>6.3.4</v>
      </c>
      <c r="C88" s="106" t="str">
        <f>'F1'!D94</f>
        <v>bgfgbf</v>
      </c>
      <c r="D88" s="122"/>
      <c r="E88" s="201"/>
    </row>
    <row r="89" spans="1:5" ht="18" customHeight="1">
      <c r="A89" s="113">
        <f>'F1'!A95</f>
        <v>84</v>
      </c>
      <c r="B89" s="105" t="str">
        <f>'F1'!B95</f>
        <v>6.3.5</v>
      </c>
      <c r="C89" s="106" t="str">
        <f>'F1'!D95</f>
        <v>sdfs</v>
      </c>
      <c r="D89" s="122"/>
      <c r="E89" s="201"/>
    </row>
    <row r="90" spans="1:5" ht="18" customHeight="1">
      <c r="A90" s="113">
        <f>'F1'!A96</f>
        <v>85</v>
      </c>
      <c r="B90" s="105" t="str">
        <f>'F1'!B96</f>
        <v>6.3.6</v>
      </c>
      <c r="C90" s="106" t="str">
        <f>'F1'!D96</f>
        <v>dcds</v>
      </c>
      <c r="D90" s="122"/>
      <c r="E90" s="201"/>
    </row>
    <row r="91" spans="1:5" ht="18" customHeight="1">
      <c r="A91" s="113">
        <f>'F1'!A97</f>
        <v>86</v>
      </c>
      <c r="B91" s="105" t="str">
        <f>'F1'!B97</f>
        <v>6.3.7</v>
      </c>
      <c r="C91" s="106" t="str">
        <f>'F1'!D97</f>
        <v>dfsd</v>
      </c>
      <c r="D91" s="122"/>
      <c r="E91" s="201"/>
    </row>
    <row r="92" spans="1:5" ht="18" customHeight="1">
      <c r="A92" s="113">
        <f>'F1'!A98</f>
        <v>87</v>
      </c>
      <c r="B92" s="105" t="str">
        <f>'F1'!B98</f>
        <v>6.3.8</v>
      </c>
      <c r="C92" s="106" t="str">
        <f>'F1'!D98</f>
        <v>wqw</v>
      </c>
      <c r="D92" s="122"/>
      <c r="E92" s="201"/>
    </row>
    <row r="93" spans="1:5" ht="18" customHeight="1">
      <c r="A93" s="113">
        <f>'F1'!A99</f>
        <v>88</v>
      </c>
      <c r="B93" s="105" t="str">
        <f>'F1'!B99</f>
        <v>7.1.1</v>
      </c>
      <c r="C93" s="106" t="str">
        <f>'F1'!D99</f>
        <v>dsds</v>
      </c>
      <c r="D93" s="122"/>
      <c r="E93" s="201"/>
    </row>
    <row r="94" spans="1:5" ht="18" customHeight="1">
      <c r="A94" s="113">
        <f>'F1'!A100</f>
        <v>89</v>
      </c>
      <c r="B94" s="105" t="str">
        <f>'F1'!B100</f>
        <v>7.1.2</v>
      </c>
      <c r="C94" s="106" t="str">
        <f>'F1'!D100</f>
        <v>Jumlah penelitian dengan biaya dari PT atau dosen = 48; Jumlah penelitian dengan biaya luar = 4; jumlah penelitian dengan biaya luar negeri = 0 Jumlah dosen tetap perguruan tinggi = 51 sehingga nilai kasar =1.1. sss</v>
      </c>
      <c r="D94" s="122"/>
      <c r="E94" s="201"/>
    </row>
    <row r="95" spans="1:5" ht="18" customHeight="1">
      <c r="A95" s="113">
        <f>'F1'!A101</f>
        <v>90</v>
      </c>
      <c r="B95" s="105" t="str">
        <f>'F1'!B101</f>
        <v>7.1.3</v>
      </c>
      <c r="C95" s="106" t="str">
        <f>'F1'!D101</f>
        <v>Jurnal ilmiah terakreditasi DIKTI = 0, Jurnal ilmiah internasional = 3, Buku tingkat nasional = 14, Buku tingkat internasional = 0, Karya seni tingkat nasional = 0, Karya seni tingkat internasional = 0, Karya sastra tingkat nasional = 0, Karya sastra tingkat internasional = 0, Jumlah dosen tetap perguruan tinggi = 51, sehingga nilai kasar = 0.39. sss</v>
      </c>
      <c r="D95" s="122"/>
      <c r="E95" s="201"/>
    </row>
    <row r="96" spans="1:5" ht="18" customHeight="1">
      <c r="A96" s="113">
        <f>'F1'!A102</f>
        <v>91</v>
      </c>
      <c r="B96" s="105" t="str">
        <f>'F1'!B102</f>
        <v>7.1.4</v>
      </c>
      <c r="C96" s="106" t="str">
        <f>'F1'!D102</f>
        <v>Banyaknya artikel ilmiah karya dosen tetap dalam tiga tahun terakhir yang disitasi = 0; jumlah dosen tetap perguruan tinggi = 51; sehingga nilai kasar =0. sss</v>
      </c>
      <c r="D96" s="122"/>
      <c r="E96" s="201"/>
    </row>
    <row r="97" spans="1:14" ht="18" customHeight="1">
      <c r="A97" s="113">
        <f>'F1'!A103</f>
        <v>92</v>
      </c>
      <c r="B97" s="105" t="str">
        <f>'F1'!B103</f>
        <v>7.1.5</v>
      </c>
      <c r="C97" s="106" t="str">
        <f>'F1'!D103</f>
        <v>Jumlah karya yang memperoleh paten = 0; Jumlah karya yang memperoleh HAKI =0; jumlah karya yang memperoleh penghargaan dari lembaga nasional atau internasional =0; Jumlah program studi = 3 sehingga nilai kasar =0. sss</v>
      </c>
      <c r="D97" s="122"/>
      <c r="E97" s="201"/>
    </row>
    <row r="98" spans="1:14" ht="18" customHeight="1">
      <c r="A98" s="113">
        <f>'F1'!A104</f>
        <v>93</v>
      </c>
      <c r="B98" s="105" t="str">
        <f>'F1'!B104</f>
        <v>7.1.6</v>
      </c>
      <c r="C98" s="106" t="str">
        <f>'F1'!D104</f>
        <v>ew</v>
      </c>
      <c r="D98" s="122"/>
      <c r="E98" s="201"/>
    </row>
    <row r="99" spans="1:14" ht="18" customHeight="1">
      <c r="A99" s="113">
        <f>'F1'!A105</f>
        <v>94</v>
      </c>
      <c r="B99" s="105" t="str">
        <f>'F1'!B105</f>
        <v>7.2.1</v>
      </c>
      <c r="C99" s="106" t="str">
        <f>'F1'!D105</f>
        <v>dfs</v>
      </c>
      <c r="D99" s="122"/>
      <c r="E99" s="201"/>
    </row>
    <row r="100" spans="1:14" ht="18" customHeight="1">
      <c r="A100" s="113">
        <f>'F1'!A106</f>
        <v>95</v>
      </c>
      <c r="B100" s="105" t="str">
        <f>'F1'!B106</f>
        <v>7.2.2</v>
      </c>
      <c r="C100" s="106" t="str">
        <f>'F1'!D106</f>
        <v>Jumlah PkM dengan biaya luar negeri =  0, Jumlah PkM dengan biaya luar = 0, Jumlah PkM dengan biaya dari PT atau dosen = 40,  jumlah dosen tetap perguruan tinggi = 51, sehingga nilai kasar = 0.78. sss</v>
      </c>
      <c r="D100" s="122"/>
      <c r="E100" s="201"/>
    </row>
    <row r="101" spans="1:14" ht="18" customHeight="1">
      <c r="A101" s="113">
        <f>'F1'!A107</f>
        <v>96</v>
      </c>
      <c r="B101" s="105" t="str">
        <f>'F1'!B107</f>
        <v>7.2.3</v>
      </c>
      <c r="C101" s="106" t="str">
        <f>'F1'!D107</f>
        <v>dsa</v>
      </c>
      <c r="D101" s="122"/>
      <c r="E101" s="201"/>
    </row>
    <row r="102" spans="1:14" ht="18" customHeight="1">
      <c r="A102" s="113">
        <f>'F1'!A108</f>
        <v>97</v>
      </c>
      <c r="B102" s="105" t="str">
        <f>'F1'!B108</f>
        <v>7.3.1</v>
      </c>
      <c r="C102" s="106" t="str">
        <f>'F1'!D108</f>
        <v>hyu</v>
      </c>
      <c r="D102" s="122"/>
      <c r="E102" s="201"/>
    </row>
    <row r="103" spans="1:14" ht="18" customHeight="1">
      <c r="A103" s="113">
        <f>'F1'!A109</f>
        <v>98</v>
      </c>
      <c r="B103" s="105" t="str">
        <f>'F1'!B109</f>
        <v>7.3.2</v>
      </c>
      <c r="C103" s="106" t="str">
        <f>'F1'!D109</f>
        <v>edew</v>
      </c>
      <c r="D103" s="122"/>
      <c r="E103" s="201"/>
    </row>
    <row r="104" spans="1:14" ht="18" customHeight="1">
      <c r="A104" s="113">
        <f>'F1'!A110</f>
        <v>99</v>
      </c>
      <c r="B104" s="105" t="str">
        <f>'F1'!B110</f>
        <v>7.3.3</v>
      </c>
      <c r="C104" s="106" t="str">
        <f>'F1'!D110</f>
        <v>sdfd</v>
      </c>
      <c r="D104" s="122"/>
      <c r="E104" s="201"/>
    </row>
    <row r="105" spans="1:14" ht="18" customHeight="1" thickBot="1">
      <c r="A105" s="113">
        <f>'F1'!A111</f>
        <v>100</v>
      </c>
      <c r="B105" s="105" t="str">
        <f>'F1'!B111</f>
        <v>7.3.4</v>
      </c>
      <c r="C105" s="106" t="str">
        <f>'F1'!D111</f>
        <v>dsfd</v>
      </c>
      <c r="D105" s="123"/>
      <c r="E105" s="202"/>
    </row>
    <row r="106" spans="1:14" ht="18" customHeight="1" thickBot="1">
      <c r="A106" s="113">
        <f>'F1'!A112</f>
        <v>101</v>
      </c>
      <c r="B106" s="105" t="str">
        <f>'F1'!B112</f>
        <v>7.3.5</v>
      </c>
      <c r="C106" s="106" t="str">
        <f>'F1'!D112</f>
        <v>dsfd</v>
      </c>
      <c r="D106" s="583" t="s">
        <v>1017</v>
      </c>
      <c r="E106" s="202"/>
    </row>
    <row r="107" spans="1:14" ht="20.25" customHeight="1">
      <c r="A107" s="1031" t="s">
        <v>82</v>
      </c>
      <c r="B107" s="1032"/>
      <c r="C107" s="1032"/>
    </row>
    <row r="108" spans="1:14" ht="15.75">
      <c r="A108" s="5"/>
    </row>
    <row r="109" spans="1:14" ht="33.75" customHeight="1">
      <c r="A109" s="1034" t="s">
        <v>14</v>
      </c>
      <c r="B109" s="1034"/>
      <c r="C109" s="1034"/>
      <c r="D109" s="1034"/>
      <c r="E109" s="1034"/>
      <c r="F109" s="12"/>
      <c r="G109" s="12"/>
      <c r="H109" s="12"/>
      <c r="I109" s="12"/>
      <c r="J109" s="12"/>
      <c r="K109" s="12"/>
      <c r="L109" s="12"/>
      <c r="M109" s="12"/>
      <c r="N109" s="12"/>
    </row>
    <row r="110" spans="1:14" ht="15.75" customHeight="1">
      <c r="A110" s="36"/>
      <c r="B110" s="36"/>
      <c r="C110" s="36"/>
      <c r="D110" s="36"/>
      <c r="E110" s="36"/>
      <c r="F110" s="180"/>
      <c r="G110" s="180"/>
      <c r="H110" s="180"/>
      <c r="I110" s="180"/>
      <c r="J110" s="180"/>
      <c r="K110" s="180"/>
      <c r="L110" s="180"/>
      <c r="M110" s="180"/>
      <c r="N110" s="180"/>
    </row>
    <row r="111" spans="1:14" ht="15.75">
      <c r="A111" s="64"/>
      <c r="B111" s="66"/>
      <c r="C111" s="64"/>
      <c r="D111" s="675" t="s">
        <v>997</v>
      </c>
      <c r="E111" s="64"/>
      <c r="F111" s="21"/>
    </row>
    <row r="112" spans="1:14">
      <c r="A112" s="64"/>
      <c r="B112" s="66"/>
      <c r="C112" s="64"/>
      <c r="D112" s="64"/>
      <c r="E112" s="64"/>
    </row>
    <row r="113" spans="1:9">
      <c r="A113" s="70"/>
      <c r="B113" s="68"/>
      <c r="C113" s="70"/>
      <c r="D113" s="1026" t="s">
        <v>894</v>
      </c>
      <c r="E113" s="1027"/>
    </row>
    <row r="114" spans="1:9" ht="20.25" customHeight="1">
      <c r="A114" s="654" t="s">
        <v>987</v>
      </c>
      <c r="B114" s="655"/>
      <c r="C114" s="70"/>
      <c r="D114" s="70"/>
      <c r="E114" s="64"/>
    </row>
    <row r="115" spans="1:9" ht="19.5" customHeight="1">
      <c r="A115" s="656" t="s">
        <v>83</v>
      </c>
      <c r="B115" s="65"/>
      <c r="C115" s="64"/>
      <c r="D115" s="1028" t="s">
        <v>937</v>
      </c>
      <c r="E115" s="1028"/>
      <c r="F115" s="13"/>
      <c r="G115" s="12"/>
      <c r="H115" s="12"/>
      <c r="I115" s="12"/>
    </row>
    <row r="116" spans="1:9" ht="15.75">
      <c r="A116" s="70"/>
      <c r="B116" s="68"/>
      <c r="C116" s="64"/>
      <c r="D116" s="652"/>
      <c r="E116" s="653"/>
      <c r="F116" s="12"/>
      <c r="G116" s="12"/>
      <c r="H116" s="12"/>
      <c r="I116" s="12"/>
    </row>
    <row r="117" spans="1:9" ht="15.75">
      <c r="A117" s="70"/>
      <c r="B117" s="68"/>
      <c r="C117" s="64"/>
      <c r="D117" s="652"/>
      <c r="E117" s="653"/>
      <c r="F117" s="4"/>
      <c r="G117" s="4"/>
    </row>
    <row r="118" spans="1:9" ht="15.75">
      <c r="A118" s="70"/>
      <c r="B118" s="68"/>
      <c r="C118" s="64"/>
      <c r="D118" s="652"/>
      <c r="E118" s="653"/>
      <c r="F118" s="13"/>
      <c r="G118" s="12"/>
      <c r="H118" s="12"/>
      <c r="I118" s="12"/>
    </row>
    <row r="119" spans="1:9" ht="15.75">
      <c r="A119" s="1027"/>
      <c r="B119" s="1030"/>
      <c r="C119" s="655"/>
      <c r="D119" s="1029" t="s">
        <v>936</v>
      </c>
      <c r="E119" s="1029"/>
      <c r="F119" s="12"/>
      <c r="G119" s="12"/>
      <c r="H119" s="12"/>
      <c r="I119" s="12"/>
    </row>
    <row r="120" spans="1:9">
      <c r="A120" s="64"/>
      <c r="B120" s="66"/>
      <c r="C120" s="64"/>
      <c r="D120" s="653"/>
      <c r="E120" s="653"/>
    </row>
    <row r="121" spans="1:9">
      <c r="A121" s="64"/>
      <c r="B121" s="66"/>
      <c r="C121" s="64"/>
      <c r="D121" s="653"/>
      <c r="E121" s="653"/>
    </row>
    <row r="122" spans="1:9">
      <c r="A122" s="1035"/>
      <c r="B122" s="1035"/>
      <c r="C122" s="1035"/>
      <c r="D122" s="653"/>
      <c r="E122" s="653"/>
    </row>
    <row r="123" spans="1:9">
      <c r="A123" s="1035" t="s">
        <v>935</v>
      </c>
      <c r="B123" s="1035"/>
      <c r="C123" s="1035"/>
      <c r="D123" s="1024" t="s">
        <v>938</v>
      </c>
      <c r="E123" s="1024"/>
    </row>
    <row r="124" spans="1:9">
      <c r="A124" s="64"/>
      <c r="B124" s="66"/>
      <c r="C124" s="64"/>
      <c r="D124" s="653"/>
      <c r="E124" s="653"/>
    </row>
    <row r="125" spans="1:9">
      <c r="A125" s="64"/>
      <c r="B125" s="66"/>
      <c r="C125" s="64"/>
      <c r="D125" s="653"/>
      <c r="E125" s="653"/>
    </row>
    <row r="126" spans="1:9">
      <c r="A126" s="64"/>
      <c r="B126" s="66"/>
      <c r="C126" s="64"/>
      <c r="D126" s="653"/>
      <c r="E126" s="653"/>
    </row>
    <row r="127" spans="1:9">
      <c r="A127" s="64"/>
      <c r="B127" s="66"/>
      <c r="C127" s="64"/>
      <c r="D127" s="1024" t="s">
        <v>939</v>
      </c>
      <c r="E127" s="1024"/>
    </row>
    <row r="128" spans="1:9">
      <c r="A128" s="64"/>
      <c r="B128" s="66"/>
      <c r="C128" s="64"/>
      <c r="D128" s="653"/>
      <c r="E128" s="653"/>
    </row>
    <row r="129" spans="1:5">
      <c r="A129" s="64"/>
      <c r="B129" s="66"/>
      <c r="C129" s="64"/>
      <c r="D129" s="653"/>
      <c r="E129" s="653"/>
    </row>
    <row r="130" spans="1:5">
      <c r="A130" s="64"/>
      <c r="B130" s="66"/>
      <c r="C130" s="64"/>
      <c r="D130" s="653"/>
      <c r="E130" s="653"/>
    </row>
    <row r="131" spans="1:5">
      <c r="A131" s="64"/>
      <c r="B131" s="66"/>
      <c r="C131" s="64"/>
      <c r="D131" s="1024" t="s">
        <v>940</v>
      </c>
      <c r="E131" s="1024"/>
    </row>
    <row r="132" spans="1:5">
      <c r="A132" s="64"/>
      <c r="B132" s="66"/>
      <c r="C132" s="64"/>
      <c r="D132" s="653"/>
      <c r="E132" s="653"/>
    </row>
    <row r="133" spans="1:5">
      <c r="A133" s="64"/>
      <c r="B133" s="66"/>
      <c r="C133" s="64"/>
      <c r="D133" s="64"/>
      <c r="E133" s="64"/>
    </row>
    <row r="134" spans="1:5">
      <c r="A134" s="64"/>
      <c r="B134" s="66"/>
      <c r="C134" s="64"/>
      <c r="D134" s="64"/>
      <c r="E134" s="64"/>
    </row>
    <row r="135" spans="1:5">
      <c r="A135" s="64"/>
      <c r="B135" s="66"/>
      <c r="C135" s="64"/>
      <c r="D135" s="64"/>
      <c r="E135" s="64"/>
    </row>
    <row r="136" spans="1:5">
      <c r="A136" s="64"/>
      <c r="B136" s="66"/>
      <c r="C136" s="64"/>
      <c r="D136" s="64"/>
      <c r="E136" s="64"/>
    </row>
    <row r="137" spans="1:5">
      <c r="A137" s="64"/>
      <c r="B137" s="66"/>
      <c r="C137" s="64"/>
      <c r="D137" s="64"/>
      <c r="E137" s="64"/>
    </row>
    <row r="138" spans="1:5">
      <c r="A138" s="64"/>
      <c r="B138" s="66"/>
      <c r="C138" s="64"/>
      <c r="D138" s="64"/>
      <c r="E138" s="64"/>
    </row>
    <row r="139" spans="1:5">
      <c r="A139" s="64"/>
      <c r="B139" s="66"/>
      <c r="C139" s="64"/>
      <c r="D139" s="64"/>
      <c r="E139" s="64"/>
    </row>
    <row r="140" spans="1:5">
      <c r="A140" s="64"/>
      <c r="B140" s="66"/>
      <c r="C140" s="64"/>
      <c r="D140" s="64"/>
      <c r="E140" s="64"/>
    </row>
    <row r="141" spans="1:5">
      <c r="A141" s="64"/>
      <c r="B141" s="66"/>
      <c r="C141" s="64"/>
      <c r="D141" s="64"/>
      <c r="E141" s="64"/>
    </row>
    <row r="142" spans="1:5">
      <c r="A142" s="64"/>
      <c r="B142" s="66"/>
      <c r="C142" s="64"/>
      <c r="D142" s="64"/>
      <c r="E142" s="64"/>
    </row>
    <row r="143" spans="1:5">
      <c r="A143" s="64"/>
      <c r="B143" s="66"/>
      <c r="C143" s="64"/>
      <c r="D143" s="64"/>
      <c r="E143" s="64"/>
    </row>
  </sheetData>
  <sheetProtection password="CC78" sheet="1" objects="1" scenarios="1" formatColumns="0" formatRows="0" selectLockedCells="1"/>
  <mergeCells count="14">
    <mergeCell ref="D127:E127"/>
    <mergeCell ref="D131:E131"/>
    <mergeCell ref="A1:E1"/>
    <mergeCell ref="D113:E113"/>
    <mergeCell ref="D115:E115"/>
    <mergeCell ref="D119:E119"/>
    <mergeCell ref="D123:E123"/>
    <mergeCell ref="A119:B119"/>
    <mergeCell ref="A107:C107"/>
    <mergeCell ref="A4:E4"/>
    <mergeCell ref="A3:E3"/>
    <mergeCell ref="A109:E109"/>
    <mergeCell ref="A122:C122"/>
    <mergeCell ref="A123:C123"/>
  </mergeCells>
  <phoneticPr fontId="35" type="noConversion"/>
  <pageMargins left="0.7" right="0.7" top="0.75" bottom="0.75" header="0.3" footer="0.3"/>
  <pageSetup orientation="portrait" r:id="rId1"/>
  <headerFooter>
    <oddFooter>&amp;LFormat 4 - &amp;D@&amp;T&amp;CAIPT&amp;R&amp;P/&amp;N</oddFooter>
  </headerFooter>
  <drawing r:id="rId2"/>
</worksheet>
</file>

<file path=xl/worksheets/sheet7.xml><?xml version="1.0" encoding="utf-8"?>
<worksheet xmlns="http://schemas.openxmlformats.org/spreadsheetml/2006/main" xmlns:r="http://schemas.openxmlformats.org/officeDocument/2006/relationships">
  <sheetPr codeName="Sheet8"/>
  <dimension ref="A1:S143"/>
  <sheetViews>
    <sheetView workbookViewId="0">
      <selection activeCell="C11" sqref="C11"/>
    </sheetView>
  </sheetViews>
  <sheetFormatPr defaultRowHeight="15"/>
  <cols>
    <col min="1" max="1" width="4.140625" customWidth="1"/>
    <col min="2" max="2" width="6.42578125" customWidth="1"/>
    <col min="3" max="3" width="5.7109375" style="3" customWidth="1"/>
    <col min="4" max="4" width="5.140625" style="7" customWidth="1"/>
    <col min="5" max="5" width="5" style="7" customWidth="1"/>
    <col min="6" max="6" width="4.85546875" style="7" customWidth="1"/>
    <col min="7" max="8" width="5" style="7" customWidth="1"/>
    <col min="9" max="9" width="6" style="3" customWidth="1"/>
    <col min="10" max="10" width="31.28515625" customWidth="1"/>
    <col min="11" max="11" width="15.42578125" customWidth="1"/>
    <col min="12" max="12" width="5.7109375" customWidth="1"/>
    <col min="13" max="13" width="6.5703125" style="3" customWidth="1"/>
    <col min="14" max="14" width="8.42578125" customWidth="1"/>
    <col min="15" max="15" width="14.5703125" customWidth="1"/>
  </cols>
  <sheetData>
    <row r="1" spans="1:19" ht="33" customHeight="1">
      <c r="A1" s="1049" t="s">
        <v>900</v>
      </c>
      <c r="B1" s="1050"/>
      <c r="C1" s="1050"/>
      <c r="D1" s="1050"/>
      <c r="E1" s="1050"/>
      <c r="F1" s="1050"/>
      <c r="G1" s="1050"/>
      <c r="H1" s="1050"/>
      <c r="I1" s="1050"/>
      <c r="J1" s="1050"/>
      <c r="K1" s="1050"/>
    </row>
    <row r="2" spans="1:19" ht="15.75">
      <c r="A2" s="1"/>
    </row>
    <row r="3" spans="1:19" ht="15.75" customHeight="1">
      <c r="A3" s="38" t="str">
        <f>'F1'!A5:C5</f>
        <v>Nama Perguruan Tinggi:</v>
      </c>
      <c r="B3" s="38"/>
      <c r="C3" s="38"/>
      <c r="F3" s="1055" t="str">
        <f>'F1'!D5</f>
        <v>Nama Perguruan Tinggi</v>
      </c>
      <c r="G3" s="1055"/>
      <c r="H3" s="1055"/>
      <c r="I3" s="1055"/>
      <c r="J3" s="1055"/>
      <c r="K3" s="1055"/>
      <c r="L3" s="111"/>
    </row>
    <row r="4" spans="1:19" ht="15.75" customHeight="1">
      <c r="A4" s="38" t="str">
        <f>'F1'!A7:C7</f>
        <v>Kode Panel</v>
      </c>
      <c r="B4" s="38"/>
      <c r="C4" s="38"/>
      <c r="F4" s="1055" t="str">
        <f>'F1'!D7</f>
        <v>P019</v>
      </c>
      <c r="G4" s="1055"/>
      <c r="H4" s="1055"/>
      <c r="I4" s="1055"/>
      <c r="J4" s="111"/>
    </row>
    <row r="5" spans="1:19" ht="15.75" customHeight="1">
      <c r="A5" s="38"/>
      <c r="B5" s="38"/>
      <c r="C5" s="38"/>
      <c r="I5" s="101"/>
      <c r="J5" s="37"/>
    </row>
    <row r="6" spans="1:19" ht="30" customHeight="1">
      <c r="A6" s="1034" t="s">
        <v>16</v>
      </c>
      <c r="B6" s="1034"/>
      <c r="C6" s="1034"/>
      <c r="D6" s="1034"/>
      <c r="E6" s="1034"/>
      <c r="F6" s="1034"/>
      <c r="G6" s="1034"/>
      <c r="H6" s="1034"/>
      <c r="I6" s="1034"/>
      <c r="J6" s="1034"/>
      <c r="K6" s="1034"/>
      <c r="L6" s="12"/>
      <c r="M6" s="12"/>
      <c r="N6" s="12"/>
      <c r="O6" s="12"/>
      <c r="P6" s="12"/>
      <c r="Q6" s="12"/>
      <c r="R6" s="12"/>
      <c r="S6" s="12"/>
    </row>
    <row r="7" spans="1:19" ht="16.5" thickBot="1">
      <c r="A7" s="38" t="s">
        <v>116</v>
      </c>
      <c r="B7" s="12"/>
      <c r="C7" s="12"/>
      <c r="D7" s="12"/>
      <c r="E7" s="546"/>
      <c r="F7" s="546"/>
      <c r="G7" s="546"/>
      <c r="H7" s="677"/>
      <c r="I7" s="12"/>
      <c r="J7" s="12"/>
      <c r="K7" s="12"/>
      <c r="L7" s="12"/>
      <c r="M7" s="12"/>
    </row>
    <row r="8" spans="1:19" ht="23.25" customHeight="1">
      <c r="A8" s="1051" t="s">
        <v>41</v>
      </c>
      <c r="B8" s="1042" t="s">
        <v>890</v>
      </c>
      <c r="C8" s="1042" t="s">
        <v>133</v>
      </c>
      <c r="D8" s="1042"/>
      <c r="E8" s="1042"/>
      <c r="F8" s="1042"/>
      <c r="G8" s="1042"/>
      <c r="H8" s="1042"/>
      <c r="I8" s="1042"/>
      <c r="J8" s="1042" t="s">
        <v>84</v>
      </c>
      <c r="K8" s="1046" t="s">
        <v>85</v>
      </c>
      <c r="M8" s="1036" t="s">
        <v>100</v>
      </c>
      <c r="N8" s="1037"/>
      <c r="O8" s="1043" t="s">
        <v>115</v>
      </c>
    </row>
    <row r="9" spans="1:19" ht="30.75" hidden="1" customHeight="1" thickBot="1">
      <c r="A9" s="1052"/>
      <c r="B9" s="1053"/>
      <c r="C9" s="573" t="s">
        <v>67</v>
      </c>
      <c r="D9" s="573" t="s">
        <v>68</v>
      </c>
      <c r="E9" s="573"/>
      <c r="F9" s="573"/>
      <c r="G9" s="573"/>
      <c r="H9" s="676"/>
      <c r="I9" s="573" t="s">
        <v>69</v>
      </c>
      <c r="J9" s="1053"/>
      <c r="K9" s="1047"/>
      <c r="M9" s="1038"/>
      <c r="N9" s="1039"/>
      <c r="O9" s="1044"/>
    </row>
    <row r="10" spans="1:19" ht="44.25" customHeight="1">
      <c r="A10" s="1052"/>
      <c r="B10" s="1053"/>
      <c r="C10" s="573" t="s">
        <v>910</v>
      </c>
      <c r="D10" s="573" t="s">
        <v>911</v>
      </c>
      <c r="E10" s="573" t="s">
        <v>912</v>
      </c>
      <c r="F10" s="573" t="s">
        <v>913</v>
      </c>
      <c r="G10" s="573" t="s">
        <v>914</v>
      </c>
      <c r="H10" s="676" t="s">
        <v>998</v>
      </c>
      <c r="I10" s="573" t="s">
        <v>69</v>
      </c>
      <c r="J10" s="1053"/>
      <c r="K10" s="1047"/>
      <c r="M10" s="1040"/>
      <c r="N10" s="1041"/>
      <c r="O10" s="1045"/>
    </row>
    <row r="11" spans="1:19">
      <c r="A11" s="159">
        <f>'F1'!A12</f>
        <v>1</v>
      </c>
      <c r="B11" s="104">
        <f>'F1'!B12</f>
        <v>1.1000000000000001</v>
      </c>
      <c r="C11" s="204">
        <v>3</v>
      </c>
      <c r="D11" s="205">
        <v>4</v>
      </c>
      <c r="E11" s="205"/>
      <c r="F11" s="205"/>
      <c r="G11" s="205"/>
      <c r="H11" s="205"/>
      <c r="I11" s="173">
        <f>SUM(C11:H11)/COUNT(C11:H11)</f>
        <v>3.5</v>
      </c>
      <c r="J11" s="23" t="str">
        <f>'F3'!D6</f>
        <v>VMT sangat jelas</v>
      </c>
      <c r="K11" s="206"/>
      <c r="M11" s="161">
        <f>'F1'!E12</f>
        <v>0.88</v>
      </c>
      <c r="N11" s="44">
        <f>I11*M11</f>
        <v>3.08</v>
      </c>
      <c r="O11" s="44">
        <f>'F1'!F12</f>
        <v>2.375</v>
      </c>
    </row>
    <row r="12" spans="1:19">
      <c r="A12" s="159">
        <f>'F1'!A13</f>
        <v>2</v>
      </c>
      <c r="B12" s="104">
        <f>'F1'!B13</f>
        <v>1.2</v>
      </c>
      <c r="C12" s="204">
        <v>3</v>
      </c>
      <c r="D12" s="205">
        <v>3.5</v>
      </c>
      <c r="E12" s="205"/>
      <c r="F12" s="205"/>
      <c r="G12" s="205"/>
      <c r="H12" s="205"/>
      <c r="I12" s="173">
        <f t="shared" ref="I12:I75" si="0">SUM(C12:H12)/COUNT(C12:H12)</f>
        <v>3.25</v>
      </c>
      <c r="J12" s="23" t="str">
        <f>'F3'!D7</f>
        <v>Rentang waktu ada</v>
      </c>
      <c r="K12" s="206"/>
      <c r="M12" s="161">
        <f>'F1'!E13</f>
        <v>0.44</v>
      </c>
      <c r="N12" s="44">
        <f t="shared" ref="N12:N75" si="1">I12*M12</f>
        <v>1.43</v>
      </c>
      <c r="O12" s="44">
        <f>'F1'!F13</f>
        <v>1.1666666666666667</v>
      </c>
    </row>
    <row r="13" spans="1:19">
      <c r="A13" s="159">
        <f>'F1'!A14</f>
        <v>3</v>
      </c>
      <c r="B13" s="104" t="str">
        <f>'F1'!B14</f>
        <v>1.3.1</v>
      </c>
      <c r="C13" s="204">
        <v>3</v>
      </c>
      <c r="D13" s="205">
        <v>3.5</v>
      </c>
      <c r="E13" s="205">
        <v>3</v>
      </c>
      <c r="F13" s="205"/>
      <c r="G13" s="205"/>
      <c r="H13" s="205"/>
      <c r="I13" s="173">
        <f t="shared" si="0"/>
        <v>3.1666666666666665</v>
      </c>
      <c r="J13" s="23">
        <f>'F3'!D8</f>
        <v>0</v>
      </c>
      <c r="K13" s="206"/>
      <c r="M13" s="161">
        <f>'F1'!E14</f>
        <v>0.44</v>
      </c>
      <c r="N13" s="44">
        <f t="shared" si="1"/>
        <v>1.3933333333333333</v>
      </c>
      <c r="O13" s="44">
        <f>'F1'!F14</f>
        <v>2</v>
      </c>
    </row>
    <row r="14" spans="1:19">
      <c r="A14" s="159">
        <f>'F1'!A15</f>
        <v>4</v>
      </c>
      <c r="B14" s="104" t="str">
        <f>'F1'!B15</f>
        <v>1.3.2</v>
      </c>
      <c r="C14" s="204">
        <v>3</v>
      </c>
      <c r="D14" s="205">
        <v>3.5</v>
      </c>
      <c r="E14" s="205">
        <v>3</v>
      </c>
      <c r="F14" s="205">
        <v>3</v>
      </c>
      <c r="G14" s="205"/>
      <c r="H14" s="205"/>
      <c r="I14" s="173">
        <f t="shared" si="0"/>
        <v>3.125</v>
      </c>
      <c r="J14" s="23">
        <f>'F3'!D9</f>
        <v>0</v>
      </c>
      <c r="K14" s="206"/>
      <c r="M14" s="161">
        <f>'F1'!E15</f>
        <v>0.88</v>
      </c>
      <c r="N14" s="44">
        <f t="shared" si="1"/>
        <v>2.75</v>
      </c>
      <c r="O14" s="44">
        <f>'F1'!F15</f>
        <v>2.5</v>
      </c>
    </row>
    <row r="15" spans="1:19">
      <c r="A15" s="159">
        <f>'F1'!A16</f>
        <v>5</v>
      </c>
      <c r="B15" s="104" t="str">
        <f>'F1'!B16</f>
        <v>2.1.1</v>
      </c>
      <c r="C15" s="204">
        <v>3</v>
      </c>
      <c r="D15" s="205">
        <v>3.5</v>
      </c>
      <c r="E15" s="205">
        <v>3</v>
      </c>
      <c r="F15" s="205">
        <v>3</v>
      </c>
      <c r="G15" s="205">
        <v>3</v>
      </c>
      <c r="H15" s="205"/>
      <c r="I15" s="173">
        <f t="shared" si="0"/>
        <v>3.1</v>
      </c>
      <c r="J15" s="23">
        <f>'F3'!D10</f>
        <v>0</v>
      </c>
      <c r="K15" s="206"/>
      <c r="M15" s="161">
        <f>'F1'!E16</f>
        <v>1.48</v>
      </c>
      <c r="N15" s="44">
        <f t="shared" si="1"/>
        <v>4.5880000000000001</v>
      </c>
      <c r="O15" s="44">
        <f>'F1'!F16</f>
        <v>0</v>
      </c>
    </row>
    <row r="16" spans="1:19">
      <c r="A16" s="159">
        <f>'F1'!A17</f>
        <v>6</v>
      </c>
      <c r="B16" s="104" t="str">
        <f>'F1'!B17</f>
        <v>2.1.2</v>
      </c>
      <c r="C16" s="204">
        <v>3</v>
      </c>
      <c r="D16" s="205">
        <v>3.5</v>
      </c>
      <c r="E16" s="205">
        <v>3</v>
      </c>
      <c r="F16" s="205">
        <v>3</v>
      </c>
      <c r="G16" s="205">
        <v>3</v>
      </c>
      <c r="H16" s="205">
        <v>4</v>
      </c>
      <c r="I16" s="173">
        <f t="shared" si="0"/>
        <v>3.25</v>
      </c>
      <c r="J16" s="23">
        <f>'F3'!D11</f>
        <v>0</v>
      </c>
      <c r="K16" s="206"/>
      <c r="M16" s="161">
        <f>'F1'!E17</f>
        <v>1.48</v>
      </c>
      <c r="N16" s="44">
        <f t="shared" si="1"/>
        <v>4.8099999999999996</v>
      </c>
      <c r="O16" s="44">
        <f>'F1'!F17</f>
        <v>3</v>
      </c>
    </row>
    <row r="17" spans="1:15">
      <c r="A17" s="159">
        <f>'F1'!A18</f>
        <v>7</v>
      </c>
      <c r="B17" s="104" t="str">
        <f>'F1'!B18</f>
        <v>2.1.3</v>
      </c>
      <c r="C17" s="204">
        <v>3</v>
      </c>
      <c r="D17" s="205">
        <v>3.5</v>
      </c>
      <c r="E17" s="205">
        <v>3</v>
      </c>
      <c r="F17" s="205">
        <v>3</v>
      </c>
      <c r="G17" s="205">
        <v>3</v>
      </c>
      <c r="H17" s="205">
        <v>4</v>
      </c>
      <c r="I17" s="173">
        <f t="shared" si="0"/>
        <v>3.25</v>
      </c>
      <c r="J17" s="23">
        <f>'F3'!D12</f>
        <v>0</v>
      </c>
      <c r="K17" s="206"/>
      <c r="M17" s="161">
        <f>'F1'!E18</f>
        <v>0.74</v>
      </c>
      <c r="N17" s="44">
        <f t="shared" si="1"/>
        <v>2.4049999999999998</v>
      </c>
      <c r="O17" s="44">
        <f>'F1'!F18</f>
        <v>1</v>
      </c>
    </row>
    <row r="18" spans="1:15">
      <c r="A18" s="159">
        <f>'F1'!A19</f>
        <v>8</v>
      </c>
      <c r="B18" s="104">
        <f>'F1'!B19</f>
        <v>2.2000000000000002</v>
      </c>
      <c r="C18" s="204">
        <v>3</v>
      </c>
      <c r="D18" s="205">
        <v>3.5</v>
      </c>
      <c r="E18" s="205">
        <v>3</v>
      </c>
      <c r="F18" s="205">
        <v>3</v>
      </c>
      <c r="G18" s="205">
        <v>3</v>
      </c>
      <c r="H18" s="205">
        <v>4</v>
      </c>
      <c r="I18" s="173">
        <f t="shared" si="0"/>
        <v>3.25</v>
      </c>
      <c r="J18" s="23">
        <f>'F3'!D13</f>
        <v>0</v>
      </c>
      <c r="K18" s="206"/>
      <c r="M18" s="161">
        <f>'F1'!E19</f>
        <v>1.48</v>
      </c>
      <c r="N18" s="44">
        <f t="shared" si="1"/>
        <v>4.8099999999999996</v>
      </c>
      <c r="O18" s="44">
        <f>'F1'!F19</f>
        <v>2.75</v>
      </c>
    </row>
    <row r="19" spans="1:15">
      <c r="A19" s="159">
        <f>'F1'!A20</f>
        <v>9</v>
      </c>
      <c r="B19" s="104" t="str">
        <f>'F1'!B20</f>
        <v>2.3.1</v>
      </c>
      <c r="C19" s="204">
        <v>3</v>
      </c>
      <c r="D19" s="205">
        <v>3.5</v>
      </c>
      <c r="E19" s="205">
        <v>3</v>
      </c>
      <c r="F19" s="205">
        <v>3</v>
      </c>
      <c r="G19" s="205">
        <v>3</v>
      </c>
      <c r="H19" s="205">
        <v>4</v>
      </c>
      <c r="I19" s="173">
        <f t="shared" si="0"/>
        <v>3.25</v>
      </c>
      <c r="J19" s="23">
        <f>'F3'!D14</f>
        <v>0</v>
      </c>
      <c r="K19" s="206"/>
      <c r="M19" s="161">
        <f>'F1'!E20</f>
        <v>0.74</v>
      </c>
      <c r="N19" s="44">
        <f t="shared" si="1"/>
        <v>2.4049999999999998</v>
      </c>
      <c r="O19" s="44">
        <f>'F1'!F20</f>
        <v>3.25</v>
      </c>
    </row>
    <row r="20" spans="1:15">
      <c r="A20" s="159">
        <f>'F1'!A21</f>
        <v>10</v>
      </c>
      <c r="B20" s="104" t="str">
        <f>'F1'!B21</f>
        <v>2.3.2</v>
      </c>
      <c r="C20" s="204">
        <v>3</v>
      </c>
      <c r="D20" s="205">
        <v>3.5</v>
      </c>
      <c r="E20" s="205">
        <v>3</v>
      </c>
      <c r="F20" s="205">
        <v>3</v>
      </c>
      <c r="G20" s="205">
        <v>3</v>
      </c>
      <c r="H20" s="205">
        <v>4</v>
      </c>
      <c r="I20" s="173">
        <f t="shared" si="0"/>
        <v>3.25</v>
      </c>
      <c r="J20" s="23">
        <f>'F3'!D15</f>
        <v>0</v>
      </c>
      <c r="K20" s="206"/>
      <c r="M20" s="161">
        <f>'F1'!E21</f>
        <v>0.74</v>
      </c>
      <c r="N20" s="44">
        <f t="shared" si="1"/>
        <v>2.4049999999999998</v>
      </c>
      <c r="O20" s="44">
        <f>'F1'!F21</f>
        <v>1.5</v>
      </c>
    </row>
    <row r="21" spans="1:15">
      <c r="A21" s="159">
        <f>'F1'!A22</f>
        <v>11</v>
      </c>
      <c r="B21" s="104" t="str">
        <f>'F1'!B22</f>
        <v>2.3.3</v>
      </c>
      <c r="C21" s="204">
        <v>3</v>
      </c>
      <c r="D21" s="205">
        <v>3.5</v>
      </c>
      <c r="E21" s="205">
        <v>3</v>
      </c>
      <c r="F21" s="205">
        <v>3</v>
      </c>
      <c r="G21" s="205">
        <v>3</v>
      </c>
      <c r="H21" s="205">
        <v>4</v>
      </c>
      <c r="I21" s="173">
        <f t="shared" si="0"/>
        <v>3.25</v>
      </c>
      <c r="J21" s="23">
        <f>'F3'!D16</f>
        <v>0</v>
      </c>
      <c r="K21" s="206"/>
      <c r="M21" s="161">
        <f>'F1'!E22</f>
        <v>0.74</v>
      </c>
      <c r="N21" s="44">
        <f t="shared" si="1"/>
        <v>2.4049999999999998</v>
      </c>
      <c r="O21" s="44">
        <f>'F1'!F22</f>
        <v>2.75</v>
      </c>
    </row>
    <row r="22" spans="1:15">
      <c r="A22" s="159">
        <f>'F1'!A23</f>
        <v>12</v>
      </c>
      <c r="B22" s="104" t="str">
        <f>'F1'!B23</f>
        <v>2.3.4</v>
      </c>
      <c r="C22" s="204">
        <v>3</v>
      </c>
      <c r="D22" s="205">
        <v>3.5</v>
      </c>
      <c r="E22" s="205">
        <v>3</v>
      </c>
      <c r="F22" s="205">
        <v>3</v>
      </c>
      <c r="G22" s="205">
        <v>3</v>
      </c>
      <c r="H22" s="205">
        <v>4</v>
      </c>
      <c r="I22" s="173">
        <f t="shared" si="0"/>
        <v>3.25</v>
      </c>
      <c r="J22" s="23">
        <f>'F3'!D17</f>
        <v>0</v>
      </c>
      <c r="K22" s="206"/>
      <c r="M22" s="161">
        <f>'F1'!E23</f>
        <v>0.74</v>
      </c>
      <c r="N22" s="44">
        <f t="shared" si="1"/>
        <v>2.4049999999999998</v>
      </c>
      <c r="O22" s="44">
        <f>'F1'!F23</f>
        <v>2.75</v>
      </c>
    </row>
    <row r="23" spans="1:15">
      <c r="A23" s="159">
        <f>'F1'!A24</f>
        <v>13</v>
      </c>
      <c r="B23" s="104" t="str">
        <f>'F1'!B24</f>
        <v>2.3.5</v>
      </c>
      <c r="C23" s="204">
        <v>3</v>
      </c>
      <c r="D23" s="205">
        <v>3.5</v>
      </c>
      <c r="E23" s="205">
        <v>3</v>
      </c>
      <c r="F23" s="205">
        <v>3</v>
      </c>
      <c r="G23" s="205">
        <v>3</v>
      </c>
      <c r="H23" s="205">
        <v>4</v>
      </c>
      <c r="I23" s="173">
        <f t="shared" si="0"/>
        <v>3.25</v>
      </c>
      <c r="J23" s="23">
        <f>'F3'!D18</f>
        <v>0</v>
      </c>
      <c r="K23" s="206"/>
      <c r="M23" s="161">
        <f>'F1'!E24</f>
        <v>0.74</v>
      </c>
      <c r="N23" s="44">
        <f t="shared" si="1"/>
        <v>2.4049999999999998</v>
      </c>
      <c r="O23" s="44">
        <f>'F1'!F24</f>
        <v>3</v>
      </c>
    </row>
    <row r="24" spans="1:15">
      <c r="A24" s="159">
        <f>'F1'!A25</f>
        <v>14</v>
      </c>
      <c r="B24" s="104" t="str">
        <f>'F1'!B25</f>
        <v>2.4.1</v>
      </c>
      <c r="C24" s="204">
        <v>3</v>
      </c>
      <c r="D24" s="205">
        <v>3.5</v>
      </c>
      <c r="E24" s="205">
        <v>3</v>
      </c>
      <c r="F24" s="205">
        <v>3</v>
      </c>
      <c r="G24" s="205">
        <v>3</v>
      </c>
      <c r="H24" s="205">
        <v>4</v>
      </c>
      <c r="I24" s="173">
        <f t="shared" si="0"/>
        <v>3.25</v>
      </c>
      <c r="J24" s="23">
        <f>'F3'!D19</f>
        <v>0</v>
      </c>
      <c r="K24" s="206"/>
      <c r="M24" s="161">
        <f>'F1'!E25</f>
        <v>0.74</v>
      </c>
      <c r="N24" s="44">
        <f t="shared" si="1"/>
        <v>2.4049999999999998</v>
      </c>
      <c r="O24" s="44">
        <f>'F1'!F25</f>
        <v>2.5</v>
      </c>
    </row>
    <row r="25" spans="1:15">
      <c r="A25" s="159">
        <f>'F1'!A26</f>
        <v>15</v>
      </c>
      <c r="B25" s="104" t="str">
        <f>'F1'!B26</f>
        <v>2.4.2</v>
      </c>
      <c r="C25" s="204">
        <v>3</v>
      </c>
      <c r="D25" s="205">
        <v>3.5</v>
      </c>
      <c r="E25" s="205">
        <v>3</v>
      </c>
      <c r="F25" s="205">
        <v>3</v>
      </c>
      <c r="G25" s="205">
        <v>3</v>
      </c>
      <c r="H25" s="205">
        <v>4</v>
      </c>
      <c r="I25" s="173">
        <f t="shared" si="0"/>
        <v>3.25</v>
      </c>
      <c r="J25" s="23">
        <f>'F3'!D20</f>
        <v>0</v>
      </c>
      <c r="K25" s="206"/>
      <c r="M25" s="161">
        <f>'F1'!E26</f>
        <v>0.37</v>
      </c>
      <c r="N25" s="44">
        <f t="shared" si="1"/>
        <v>1.2024999999999999</v>
      </c>
      <c r="O25" s="44">
        <f>'F1'!F26</f>
        <v>3.2</v>
      </c>
    </row>
    <row r="26" spans="1:15">
      <c r="A26" s="159">
        <f>'F1'!A27</f>
        <v>16</v>
      </c>
      <c r="B26" s="104" t="str">
        <f>'F1'!B27</f>
        <v>2.4.3</v>
      </c>
      <c r="C26" s="204">
        <v>3</v>
      </c>
      <c r="D26" s="205">
        <v>3.5</v>
      </c>
      <c r="E26" s="205">
        <v>3</v>
      </c>
      <c r="F26" s="205">
        <v>3</v>
      </c>
      <c r="G26" s="205">
        <v>3</v>
      </c>
      <c r="H26" s="205">
        <v>4</v>
      </c>
      <c r="I26" s="173">
        <f t="shared" si="0"/>
        <v>3.25</v>
      </c>
      <c r="J26" s="23">
        <f>'F3'!D21</f>
        <v>0</v>
      </c>
      <c r="K26" s="206"/>
      <c r="M26" s="161">
        <f>'F1'!E27</f>
        <v>0.37</v>
      </c>
      <c r="N26" s="44">
        <f t="shared" si="1"/>
        <v>1.2024999999999999</v>
      </c>
      <c r="O26" s="44">
        <f>'F1'!F27</f>
        <v>1.5</v>
      </c>
    </row>
    <row r="27" spans="1:15">
      <c r="A27" s="159">
        <f>'F1'!A28</f>
        <v>17</v>
      </c>
      <c r="B27" s="104" t="str">
        <f>'F1'!B28</f>
        <v>2.4.4</v>
      </c>
      <c r="C27" s="204">
        <v>3</v>
      </c>
      <c r="D27" s="205">
        <v>3.5</v>
      </c>
      <c r="E27" s="205">
        <v>3</v>
      </c>
      <c r="F27" s="205">
        <v>3</v>
      </c>
      <c r="G27" s="205">
        <v>3</v>
      </c>
      <c r="H27" s="205">
        <v>4</v>
      </c>
      <c r="I27" s="173">
        <f t="shared" si="0"/>
        <v>3.25</v>
      </c>
      <c r="J27" s="23">
        <f>'F3'!D22</f>
        <v>0</v>
      </c>
      <c r="K27" s="206"/>
      <c r="M27" s="161">
        <f>'F1'!E28</f>
        <v>0.37</v>
      </c>
      <c r="N27" s="44">
        <f t="shared" si="1"/>
        <v>1.2024999999999999</v>
      </c>
      <c r="O27" s="44">
        <f>'F1'!F28</f>
        <v>3</v>
      </c>
    </row>
    <row r="28" spans="1:15">
      <c r="A28" s="159">
        <f>'F1'!A29</f>
        <v>18</v>
      </c>
      <c r="B28" s="104" t="str">
        <f>'F1'!B29</f>
        <v>2.4.5</v>
      </c>
      <c r="C28" s="204">
        <v>3</v>
      </c>
      <c r="D28" s="205">
        <v>3.5</v>
      </c>
      <c r="E28" s="205">
        <v>3</v>
      </c>
      <c r="F28" s="205">
        <v>3</v>
      </c>
      <c r="G28" s="205">
        <v>3</v>
      </c>
      <c r="H28" s="205">
        <v>4</v>
      </c>
      <c r="I28" s="173">
        <f t="shared" si="0"/>
        <v>3.25</v>
      </c>
      <c r="J28" s="23">
        <f>'F3'!D23</f>
        <v>0</v>
      </c>
      <c r="K28" s="206"/>
      <c r="M28" s="161">
        <f>'F1'!E29</f>
        <v>0.74</v>
      </c>
      <c r="N28" s="44">
        <f t="shared" si="1"/>
        <v>2.4049999999999998</v>
      </c>
      <c r="O28" s="44">
        <f>'F1'!F29</f>
        <v>3.2</v>
      </c>
    </row>
    <row r="29" spans="1:15">
      <c r="A29" s="159">
        <f>'F1'!A30</f>
        <v>19</v>
      </c>
      <c r="B29" s="104" t="str">
        <f>'F1'!B30</f>
        <v>2.4.6</v>
      </c>
      <c r="C29" s="204">
        <v>3</v>
      </c>
      <c r="D29" s="205">
        <v>3.5</v>
      </c>
      <c r="E29" s="205">
        <v>3</v>
      </c>
      <c r="F29" s="205">
        <v>3</v>
      </c>
      <c r="G29" s="205">
        <v>3</v>
      </c>
      <c r="H29" s="205">
        <v>4</v>
      </c>
      <c r="I29" s="173">
        <f t="shared" si="0"/>
        <v>3.25</v>
      </c>
      <c r="J29" s="23">
        <f>'F3'!D24</f>
        <v>0</v>
      </c>
      <c r="K29" s="206"/>
      <c r="M29" s="161">
        <f>'F1'!E30</f>
        <v>14.83</v>
      </c>
      <c r="N29" s="44">
        <f t="shared" si="1"/>
        <v>48.197499999999998</v>
      </c>
      <c r="O29" s="44">
        <f>'F1'!F30</f>
        <v>4</v>
      </c>
    </row>
    <row r="30" spans="1:15">
      <c r="A30" s="159">
        <f>'F1'!A31</f>
        <v>20</v>
      </c>
      <c r="B30" s="104" t="str">
        <f>'F1'!B31</f>
        <v>3.1.1</v>
      </c>
      <c r="C30" s="204">
        <v>3</v>
      </c>
      <c r="D30" s="205">
        <v>3.5</v>
      </c>
      <c r="E30" s="205">
        <v>3</v>
      </c>
      <c r="F30" s="205">
        <v>3</v>
      </c>
      <c r="G30" s="205">
        <v>3</v>
      </c>
      <c r="H30" s="205">
        <v>4</v>
      </c>
      <c r="I30" s="173">
        <f t="shared" si="0"/>
        <v>3.25</v>
      </c>
      <c r="J30" s="23">
        <f>'F3'!D25</f>
        <v>0</v>
      </c>
      <c r="K30" s="206"/>
      <c r="M30" s="161">
        <f>'F1'!E31</f>
        <v>0.82</v>
      </c>
      <c r="N30" s="44">
        <f t="shared" si="1"/>
        <v>2.665</v>
      </c>
      <c r="O30" s="44">
        <f>'F1'!F31</f>
        <v>1</v>
      </c>
    </row>
    <row r="31" spans="1:15">
      <c r="A31" s="159">
        <f>'F1'!A32</f>
        <v>21</v>
      </c>
      <c r="B31" s="104" t="str">
        <f>'F1'!B32</f>
        <v>3.1.2</v>
      </c>
      <c r="C31" s="204">
        <v>3</v>
      </c>
      <c r="D31" s="205">
        <v>3.5</v>
      </c>
      <c r="E31" s="205">
        <v>3</v>
      </c>
      <c r="F31" s="205">
        <v>3</v>
      </c>
      <c r="G31" s="205">
        <v>3</v>
      </c>
      <c r="H31" s="205">
        <v>4</v>
      </c>
      <c r="I31" s="173">
        <f t="shared" si="0"/>
        <v>3.25</v>
      </c>
      <c r="J31" s="23">
        <f>'F3'!D26</f>
        <v>0</v>
      </c>
      <c r="K31" s="206"/>
      <c r="M31" s="161">
        <f>'F1'!E32</f>
        <v>0.41</v>
      </c>
      <c r="N31" s="44">
        <f t="shared" si="1"/>
        <v>1.3325</v>
      </c>
      <c r="O31" s="44">
        <f>'F1'!F32</f>
        <v>1</v>
      </c>
    </row>
    <row r="32" spans="1:15">
      <c r="A32" s="159">
        <f>'F1'!A33</f>
        <v>22</v>
      </c>
      <c r="B32" s="104" t="str">
        <f>'F1'!B33</f>
        <v>3.1.3</v>
      </c>
      <c r="C32" s="204">
        <v>3</v>
      </c>
      <c r="D32" s="205">
        <v>3.5</v>
      </c>
      <c r="E32" s="205">
        <v>3</v>
      </c>
      <c r="F32" s="205">
        <v>3</v>
      </c>
      <c r="G32" s="205">
        <v>3</v>
      </c>
      <c r="H32" s="205">
        <v>4</v>
      </c>
      <c r="I32" s="173">
        <f t="shared" si="0"/>
        <v>3.25</v>
      </c>
      <c r="J32" s="23">
        <f>'F3'!D27</f>
        <v>0</v>
      </c>
      <c r="K32" s="206"/>
      <c r="M32" s="161">
        <f>'F1'!E33</f>
        <v>0.41</v>
      </c>
      <c r="N32" s="44">
        <f t="shared" si="1"/>
        <v>1.3325</v>
      </c>
      <c r="O32" s="44">
        <f>'F1'!F33</f>
        <v>1</v>
      </c>
    </row>
    <row r="33" spans="1:15">
      <c r="A33" s="159">
        <f>'F1'!A34</f>
        <v>23</v>
      </c>
      <c r="B33" s="104" t="str">
        <f>'F1'!B34</f>
        <v>3.1.4</v>
      </c>
      <c r="C33" s="204">
        <v>3</v>
      </c>
      <c r="D33" s="205">
        <v>3.5</v>
      </c>
      <c r="E33" s="205">
        <v>3</v>
      </c>
      <c r="F33" s="205">
        <v>3</v>
      </c>
      <c r="G33" s="205">
        <v>3</v>
      </c>
      <c r="H33" s="205">
        <v>4</v>
      </c>
      <c r="I33" s="173">
        <f t="shared" si="0"/>
        <v>3.25</v>
      </c>
      <c r="J33" s="23">
        <f>'F3'!D28</f>
        <v>0</v>
      </c>
      <c r="K33" s="206"/>
      <c r="M33" s="161">
        <f>'F1'!E34</f>
        <v>0.41</v>
      </c>
      <c r="N33" s="44">
        <f t="shared" si="1"/>
        <v>1.3325</v>
      </c>
      <c r="O33" s="44">
        <f>'F1'!F34</f>
        <v>4</v>
      </c>
    </row>
    <row r="34" spans="1:15" ht="15.75" customHeight="1">
      <c r="A34" s="159">
        <f>'F1'!A35</f>
        <v>24</v>
      </c>
      <c r="B34" s="104" t="str">
        <f>'F1'!B35</f>
        <v>3.1.5.1</v>
      </c>
      <c r="C34" s="204">
        <v>3</v>
      </c>
      <c r="D34" s="204">
        <v>3.5</v>
      </c>
      <c r="E34" s="204">
        <v>3</v>
      </c>
      <c r="F34" s="204">
        <v>3</v>
      </c>
      <c r="G34" s="205">
        <v>3</v>
      </c>
      <c r="H34" s="205">
        <v>4</v>
      </c>
      <c r="I34" s="173">
        <f t="shared" si="0"/>
        <v>3.25</v>
      </c>
      <c r="J34" s="23">
        <f>'F3'!D29</f>
        <v>0</v>
      </c>
      <c r="K34" s="206"/>
      <c r="M34" s="161">
        <f>'F1'!E35</f>
        <v>0.82</v>
      </c>
      <c r="N34" s="44">
        <f t="shared" si="1"/>
        <v>2.665</v>
      </c>
      <c r="O34" s="44">
        <f>'F1'!F35</f>
        <v>4</v>
      </c>
    </row>
    <row r="35" spans="1:15" ht="17.25" customHeight="1">
      <c r="A35" s="159">
        <f>'F1'!A36</f>
        <v>25</v>
      </c>
      <c r="B35" s="571" t="str">
        <f>'F1'!B36</f>
        <v>3.1.5.2</v>
      </c>
      <c r="C35" s="594">
        <v>3</v>
      </c>
      <c r="D35" s="594">
        <v>3.5</v>
      </c>
      <c r="E35" s="594">
        <v>3</v>
      </c>
      <c r="F35" s="594">
        <v>3</v>
      </c>
      <c r="G35" s="205">
        <v>3</v>
      </c>
      <c r="H35" s="205">
        <v>4</v>
      </c>
      <c r="I35" s="173">
        <f t="shared" si="0"/>
        <v>3.25</v>
      </c>
      <c r="J35" s="23">
        <f>'F3'!D30</f>
        <v>0</v>
      </c>
      <c r="K35" s="206"/>
      <c r="M35" s="161">
        <f>'F1'!E36</f>
        <v>0.41</v>
      </c>
      <c r="N35" s="44">
        <f t="shared" si="1"/>
        <v>1.3325</v>
      </c>
      <c r="O35" s="44">
        <f>'F1'!F36</f>
        <v>4</v>
      </c>
    </row>
    <row r="36" spans="1:15" ht="17.25" customHeight="1">
      <c r="A36" s="159">
        <f>'F1'!A37</f>
        <v>26</v>
      </c>
      <c r="B36" s="104" t="str">
        <f>'F1'!B37</f>
        <v>3.1.5.3</v>
      </c>
      <c r="C36" s="204">
        <v>3</v>
      </c>
      <c r="D36" s="204">
        <v>3.5</v>
      </c>
      <c r="E36" s="204">
        <v>3</v>
      </c>
      <c r="F36" s="204">
        <v>3</v>
      </c>
      <c r="G36" s="205">
        <v>3</v>
      </c>
      <c r="H36" s="205">
        <v>4</v>
      </c>
      <c r="I36" s="173">
        <f t="shared" si="0"/>
        <v>3.25</v>
      </c>
      <c r="J36" s="23">
        <f>'F3'!D31</f>
        <v>0</v>
      </c>
      <c r="K36" s="206"/>
      <c r="M36" s="161">
        <f>'F1'!E37</f>
        <v>0.41</v>
      </c>
      <c r="N36" s="44">
        <f t="shared" si="1"/>
        <v>1.3325</v>
      </c>
      <c r="O36" s="44">
        <f>'F1'!F37</f>
        <v>4</v>
      </c>
    </row>
    <row r="37" spans="1:15">
      <c r="A37" s="159">
        <f>'F1'!A38</f>
        <v>27</v>
      </c>
      <c r="B37" s="104" t="str">
        <f>'F1'!B38</f>
        <v>3.1.6</v>
      </c>
      <c r="C37" s="204">
        <v>3</v>
      </c>
      <c r="D37" s="205">
        <v>3.5</v>
      </c>
      <c r="E37" s="205">
        <v>3</v>
      </c>
      <c r="F37" s="205">
        <v>3</v>
      </c>
      <c r="G37" s="205">
        <v>3</v>
      </c>
      <c r="H37" s="205">
        <v>4</v>
      </c>
      <c r="I37" s="173">
        <f t="shared" si="0"/>
        <v>3.25</v>
      </c>
      <c r="J37" s="23">
        <f>'F3'!D32</f>
        <v>0</v>
      </c>
      <c r="K37" s="206"/>
      <c r="M37" s="161">
        <f>'F1'!E38</f>
        <v>0.41</v>
      </c>
      <c r="N37" s="44">
        <f t="shared" si="1"/>
        <v>1.3325</v>
      </c>
      <c r="O37" s="44">
        <f>'F1'!F38</f>
        <v>3</v>
      </c>
    </row>
    <row r="38" spans="1:15">
      <c r="A38" s="159">
        <f>'F1'!A39</f>
        <v>28</v>
      </c>
      <c r="B38" s="104" t="str">
        <f>'F1'!B39</f>
        <v>3.1.7</v>
      </c>
      <c r="C38" s="204">
        <v>3</v>
      </c>
      <c r="D38" s="205">
        <v>3.5</v>
      </c>
      <c r="E38" s="205">
        <v>3</v>
      </c>
      <c r="F38" s="205">
        <v>3</v>
      </c>
      <c r="G38" s="205">
        <v>3</v>
      </c>
      <c r="H38" s="205">
        <v>4</v>
      </c>
      <c r="I38" s="173">
        <f t="shared" si="0"/>
        <v>3.25</v>
      </c>
      <c r="J38" s="23">
        <f>'F3'!D33</f>
        <v>0</v>
      </c>
      <c r="K38" s="206"/>
      <c r="M38" s="161">
        <f>'F1'!E39</f>
        <v>0.41</v>
      </c>
      <c r="N38" s="44">
        <f t="shared" si="1"/>
        <v>1.3325</v>
      </c>
      <c r="O38" s="44">
        <f>'F1'!F39</f>
        <v>4</v>
      </c>
    </row>
    <row r="39" spans="1:15">
      <c r="A39" s="159">
        <f>'F1'!A40</f>
        <v>29</v>
      </c>
      <c r="B39" s="104" t="str">
        <f>'F1'!B40</f>
        <v>3.1.8</v>
      </c>
      <c r="C39" s="204">
        <v>3</v>
      </c>
      <c r="D39" s="205">
        <v>3.5</v>
      </c>
      <c r="E39" s="205">
        <v>3</v>
      </c>
      <c r="F39" s="205">
        <v>3</v>
      </c>
      <c r="G39" s="205">
        <v>3</v>
      </c>
      <c r="H39" s="205">
        <v>4</v>
      </c>
      <c r="I39" s="173">
        <f t="shared" si="0"/>
        <v>3.25</v>
      </c>
      <c r="J39" s="23">
        <f>'F3'!D34</f>
        <v>0</v>
      </c>
      <c r="K39" s="206"/>
      <c r="M39" s="161">
        <f>'F1'!E40</f>
        <v>0.41</v>
      </c>
      <c r="N39" s="44">
        <f t="shared" si="1"/>
        <v>1.3325</v>
      </c>
      <c r="O39" s="44">
        <f>'F1'!F40</f>
        <v>4</v>
      </c>
    </row>
    <row r="40" spans="1:15">
      <c r="A40" s="159">
        <f>'F1'!A41</f>
        <v>30</v>
      </c>
      <c r="B40" s="104" t="str">
        <f>'F1'!B41</f>
        <v>3.1.9</v>
      </c>
      <c r="C40" s="204">
        <v>3</v>
      </c>
      <c r="D40" s="205">
        <v>3.5</v>
      </c>
      <c r="E40" s="205">
        <v>3</v>
      </c>
      <c r="F40" s="205">
        <v>3</v>
      </c>
      <c r="G40" s="205">
        <v>3</v>
      </c>
      <c r="H40" s="205">
        <v>4</v>
      </c>
      <c r="I40" s="173">
        <f t="shared" si="0"/>
        <v>3.25</v>
      </c>
      <c r="J40" s="23">
        <f>'F3'!D35</f>
        <v>0</v>
      </c>
      <c r="K40" s="206"/>
      <c r="M40" s="161">
        <f>'F1'!E41</f>
        <v>0.41</v>
      </c>
      <c r="N40" s="44">
        <f t="shared" si="1"/>
        <v>1.3325</v>
      </c>
      <c r="O40" s="44">
        <f>'F1'!F41</f>
        <v>4</v>
      </c>
    </row>
    <row r="41" spans="1:15">
      <c r="A41" s="159">
        <f>'F1'!A42</f>
        <v>31</v>
      </c>
      <c r="B41" s="104" t="str">
        <f>'F1'!B42</f>
        <v>3.1.10</v>
      </c>
      <c r="C41" s="204">
        <v>3</v>
      </c>
      <c r="D41" s="205">
        <v>3.5</v>
      </c>
      <c r="E41" s="205">
        <v>3</v>
      </c>
      <c r="F41" s="205">
        <v>3</v>
      </c>
      <c r="G41" s="205">
        <v>3</v>
      </c>
      <c r="H41" s="205">
        <v>4</v>
      </c>
      <c r="I41" s="173">
        <f t="shared" si="0"/>
        <v>3.25</v>
      </c>
      <c r="J41" s="23">
        <f>'F3'!D36</f>
        <v>0</v>
      </c>
      <c r="K41" s="206"/>
      <c r="M41" s="161">
        <f>'F1'!E42</f>
        <v>0.41</v>
      </c>
      <c r="N41" s="44">
        <f t="shared" si="1"/>
        <v>1.3325</v>
      </c>
      <c r="O41" s="44">
        <f>'F1'!F42</f>
        <v>4</v>
      </c>
    </row>
    <row r="42" spans="1:15">
      <c r="A42" s="159">
        <f>'F1'!A43</f>
        <v>32</v>
      </c>
      <c r="B42" s="104" t="str">
        <f>'F1'!B43</f>
        <v>3.1.11</v>
      </c>
      <c r="C42" s="204">
        <v>3</v>
      </c>
      <c r="D42" s="205">
        <v>3.5</v>
      </c>
      <c r="E42" s="205">
        <v>3</v>
      </c>
      <c r="F42" s="205">
        <v>3</v>
      </c>
      <c r="G42" s="205">
        <v>3</v>
      </c>
      <c r="H42" s="205">
        <v>4</v>
      </c>
      <c r="I42" s="173">
        <f t="shared" si="0"/>
        <v>3.25</v>
      </c>
      <c r="J42" s="23">
        <f>'F3'!D37</f>
        <v>0</v>
      </c>
      <c r="K42" s="206"/>
      <c r="M42" s="161">
        <f>'F1'!E43</f>
        <v>0.82</v>
      </c>
      <c r="N42" s="44">
        <f t="shared" si="1"/>
        <v>2.665</v>
      </c>
      <c r="O42" s="44">
        <f>'F1'!F43</f>
        <v>2.4</v>
      </c>
    </row>
    <row r="43" spans="1:15">
      <c r="A43" s="159">
        <f>'F1'!A44</f>
        <v>33</v>
      </c>
      <c r="B43" s="104" t="str">
        <f>'F1'!B44</f>
        <v>3.1.12</v>
      </c>
      <c r="C43" s="204">
        <v>3</v>
      </c>
      <c r="D43" s="205">
        <v>3.5</v>
      </c>
      <c r="E43" s="205">
        <v>3</v>
      </c>
      <c r="F43" s="205">
        <v>3</v>
      </c>
      <c r="G43" s="205">
        <v>3</v>
      </c>
      <c r="H43" s="205">
        <v>4</v>
      </c>
      <c r="I43" s="173">
        <f t="shared" si="0"/>
        <v>3.25</v>
      </c>
      <c r="J43" s="23">
        <f>'F3'!D38</f>
        <v>0</v>
      </c>
      <c r="K43" s="206"/>
      <c r="M43" s="161">
        <f>'F1'!E44</f>
        <v>0.41</v>
      </c>
      <c r="N43" s="44">
        <f t="shared" si="1"/>
        <v>1.3325</v>
      </c>
      <c r="O43" s="44">
        <f>'F1'!F44</f>
        <v>4</v>
      </c>
    </row>
    <row r="44" spans="1:15" ht="16.5" customHeight="1">
      <c r="A44" s="159">
        <f>'F1'!A45</f>
        <v>34</v>
      </c>
      <c r="B44" s="104" t="str">
        <f>'F1'!B45</f>
        <v>3.2.1.1</v>
      </c>
      <c r="C44" s="204">
        <v>3</v>
      </c>
      <c r="D44" s="204">
        <v>3.5</v>
      </c>
      <c r="E44" s="204">
        <v>3</v>
      </c>
      <c r="F44" s="204">
        <v>3</v>
      </c>
      <c r="G44" s="205">
        <v>3</v>
      </c>
      <c r="H44" s="205">
        <v>4</v>
      </c>
      <c r="I44" s="173">
        <f t="shared" si="0"/>
        <v>3.25</v>
      </c>
      <c r="J44" s="23">
        <f>'F3'!D39</f>
        <v>0</v>
      </c>
      <c r="K44" s="206"/>
      <c r="M44" s="161">
        <f>'F1'!E45</f>
        <v>0.41</v>
      </c>
      <c r="N44" s="44">
        <f t="shared" si="1"/>
        <v>1.3325</v>
      </c>
      <c r="O44" s="44">
        <f>'F1'!F45</f>
        <v>0</v>
      </c>
    </row>
    <row r="45" spans="1:15" ht="16.5" customHeight="1">
      <c r="A45" s="159">
        <f>'F1'!A46</f>
        <v>35</v>
      </c>
      <c r="B45" s="104" t="str">
        <f>'F1'!B46</f>
        <v>3.2.1.2</v>
      </c>
      <c r="C45" s="204">
        <v>3</v>
      </c>
      <c r="D45" s="204">
        <v>3.5</v>
      </c>
      <c r="E45" s="204">
        <v>3</v>
      </c>
      <c r="F45" s="204">
        <v>3</v>
      </c>
      <c r="G45" s="205">
        <v>3</v>
      </c>
      <c r="H45" s="205">
        <v>4</v>
      </c>
      <c r="I45" s="173">
        <f t="shared" si="0"/>
        <v>3.25</v>
      </c>
      <c r="J45" s="23">
        <f>'F3'!D40</f>
        <v>0</v>
      </c>
      <c r="K45" s="206"/>
      <c r="M45" s="161">
        <f>'F1'!E46</f>
        <v>1.23</v>
      </c>
      <c r="N45" s="44">
        <f t="shared" si="1"/>
        <v>3.9975000000000001</v>
      </c>
      <c r="O45" s="44">
        <f>'F1'!F46</f>
        <v>4</v>
      </c>
    </row>
    <row r="46" spans="1:15" ht="17.25" customHeight="1">
      <c r="A46" s="159">
        <f>'F1'!A47</f>
        <v>36</v>
      </c>
      <c r="B46" s="104" t="str">
        <f>'F1'!B47</f>
        <v>3.2.2.1</v>
      </c>
      <c r="C46" s="204">
        <v>3</v>
      </c>
      <c r="D46" s="204">
        <v>3.5</v>
      </c>
      <c r="E46" s="204">
        <v>3</v>
      </c>
      <c r="F46" s="204">
        <v>3</v>
      </c>
      <c r="G46" s="205">
        <v>3</v>
      </c>
      <c r="H46" s="205">
        <v>4</v>
      </c>
      <c r="I46" s="173">
        <f t="shared" si="0"/>
        <v>3.25</v>
      </c>
      <c r="J46" s="23">
        <f>'F3'!D41</f>
        <v>0</v>
      </c>
      <c r="K46" s="206"/>
      <c r="M46" s="161">
        <f>'F1'!E47</f>
        <v>1.23</v>
      </c>
      <c r="N46" s="44">
        <f t="shared" si="1"/>
        <v>3.9975000000000001</v>
      </c>
      <c r="O46" s="44">
        <f>'F1'!F47</f>
        <v>1.3066666666666666</v>
      </c>
    </row>
    <row r="47" spans="1:15" ht="16.5" customHeight="1">
      <c r="A47" s="159">
        <f>'F1'!A48</f>
        <v>37</v>
      </c>
      <c r="B47" s="104" t="str">
        <f>'F1'!B48</f>
        <v>3.2.2.2</v>
      </c>
      <c r="C47" s="204">
        <v>3</v>
      </c>
      <c r="D47" s="204">
        <v>3.5</v>
      </c>
      <c r="E47" s="204">
        <v>3</v>
      </c>
      <c r="F47" s="204">
        <v>3</v>
      </c>
      <c r="G47" s="205">
        <v>3</v>
      </c>
      <c r="H47" s="205">
        <v>4</v>
      </c>
      <c r="I47" s="173">
        <f t="shared" si="0"/>
        <v>3.25</v>
      </c>
      <c r="J47" s="23">
        <f>'F3'!D42</f>
        <v>0</v>
      </c>
      <c r="K47" s="206"/>
      <c r="M47" s="161">
        <f>'F1'!E48</f>
        <v>0.82</v>
      </c>
      <c r="N47" s="44">
        <f t="shared" si="1"/>
        <v>2.665</v>
      </c>
      <c r="O47" s="44">
        <f>'F1'!F48</f>
        <v>3.91</v>
      </c>
    </row>
    <row r="48" spans="1:15">
      <c r="A48" s="159">
        <f>'F1'!A49</f>
        <v>38</v>
      </c>
      <c r="B48" s="104" t="str">
        <f>'F1'!B49</f>
        <v>3.2.3</v>
      </c>
      <c r="C48" s="204">
        <v>3</v>
      </c>
      <c r="D48" s="205">
        <v>3.5</v>
      </c>
      <c r="E48" s="205">
        <v>3</v>
      </c>
      <c r="F48" s="205">
        <v>3</v>
      </c>
      <c r="G48" s="205">
        <v>3</v>
      </c>
      <c r="H48" s="205">
        <v>4</v>
      </c>
      <c r="I48" s="173">
        <f t="shared" si="0"/>
        <v>3.25</v>
      </c>
      <c r="J48" s="23">
        <f>'F3'!D43</f>
        <v>0</v>
      </c>
      <c r="K48" s="206"/>
      <c r="M48" s="161">
        <f>'F1'!E49</f>
        <v>0.82</v>
      </c>
      <c r="N48" s="44">
        <f t="shared" si="1"/>
        <v>2.665</v>
      </c>
      <c r="O48" s="44">
        <f>'F1'!F49</f>
        <v>1</v>
      </c>
    </row>
    <row r="49" spans="1:15">
      <c r="A49" s="159">
        <f>'F1'!A50</f>
        <v>39</v>
      </c>
      <c r="B49" s="104" t="str">
        <f>'F1'!B50</f>
        <v>3.2.4</v>
      </c>
      <c r="C49" s="204">
        <v>3</v>
      </c>
      <c r="D49" s="205">
        <v>3.5</v>
      </c>
      <c r="E49" s="205">
        <v>3</v>
      </c>
      <c r="F49" s="205">
        <v>3</v>
      </c>
      <c r="G49" s="205">
        <v>3</v>
      </c>
      <c r="H49" s="205">
        <v>4</v>
      </c>
      <c r="I49" s="173">
        <f t="shared" si="0"/>
        <v>3.25</v>
      </c>
      <c r="J49" s="23">
        <f>'F3'!D44</f>
        <v>0</v>
      </c>
      <c r="K49" s="206"/>
      <c r="M49" s="161">
        <f>'F1'!E50</f>
        <v>0.82</v>
      </c>
      <c r="N49" s="44">
        <f t="shared" si="1"/>
        <v>2.665</v>
      </c>
      <c r="O49" s="44">
        <f>'F1'!F50</f>
        <v>4</v>
      </c>
    </row>
    <row r="50" spans="1:15">
      <c r="A50" s="159">
        <f>'F1'!A51</f>
        <v>40</v>
      </c>
      <c r="B50" s="104" t="str">
        <f>'F1'!B51</f>
        <v>3.2.5</v>
      </c>
      <c r="C50" s="204">
        <v>3</v>
      </c>
      <c r="D50" s="205">
        <v>3.5</v>
      </c>
      <c r="E50" s="205">
        <v>3</v>
      </c>
      <c r="F50" s="205">
        <v>3</v>
      </c>
      <c r="G50" s="205">
        <v>3</v>
      </c>
      <c r="H50" s="205">
        <v>4</v>
      </c>
      <c r="I50" s="173">
        <f t="shared" si="0"/>
        <v>3.25</v>
      </c>
      <c r="J50" s="23">
        <f>'F3'!D45</f>
        <v>0</v>
      </c>
      <c r="K50" s="206"/>
      <c r="M50" s="161">
        <f>'F1'!E51</f>
        <v>0.82</v>
      </c>
      <c r="N50" s="44">
        <f t="shared" si="1"/>
        <v>2.665</v>
      </c>
      <c r="O50" s="44">
        <f>'F1'!F51</f>
        <v>3</v>
      </c>
    </row>
    <row r="51" spans="1:15">
      <c r="A51" s="159">
        <f>'F1'!A52</f>
        <v>41</v>
      </c>
      <c r="B51" s="104">
        <f>'F1'!B52</f>
        <v>4.0999999999999996</v>
      </c>
      <c r="C51" s="204">
        <v>3</v>
      </c>
      <c r="D51" s="205">
        <v>3.5</v>
      </c>
      <c r="E51" s="205">
        <v>3</v>
      </c>
      <c r="F51" s="205">
        <v>3</v>
      </c>
      <c r="G51" s="205">
        <v>3</v>
      </c>
      <c r="H51" s="205">
        <v>4</v>
      </c>
      <c r="I51" s="173">
        <f t="shared" si="0"/>
        <v>3.25</v>
      </c>
      <c r="J51" s="23">
        <f>'F3'!D46</f>
        <v>0</v>
      </c>
      <c r="K51" s="206"/>
      <c r="M51" s="161">
        <f>'F1'!E52</f>
        <v>0.92</v>
      </c>
      <c r="N51" s="44">
        <f t="shared" si="1"/>
        <v>2.99</v>
      </c>
      <c r="O51" s="44">
        <f>'F1'!F52</f>
        <v>2</v>
      </c>
    </row>
    <row r="52" spans="1:15">
      <c r="A52" s="159">
        <f>'F1'!A53</f>
        <v>42</v>
      </c>
      <c r="B52" s="104" t="str">
        <f>'F1'!B53</f>
        <v>4.2.1</v>
      </c>
      <c r="C52" s="204">
        <v>3</v>
      </c>
      <c r="D52" s="205">
        <v>3.5</v>
      </c>
      <c r="E52" s="205">
        <v>3</v>
      </c>
      <c r="F52" s="205">
        <v>3</v>
      </c>
      <c r="G52" s="205">
        <v>3</v>
      </c>
      <c r="H52" s="205">
        <v>4</v>
      </c>
      <c r="I52" s="173">
        <f t="shared" si="0"/>
        <v>3.25</v>
      </c>
      <c r="J52" s="23">
        <f>'F3'!D47</f>
        <v>0</v>
      </c>
      <c r="K52" s="206"/>
      <c r="M52" s="161">
        <f>'F1'!E53</f>
        <v>0.92</v>
      </c>
      <c r="N52" s="44">
        <f t="shared" si="1"/>
        <v>2.99</v>
      </c>
      <c r="O52" s="44">
        <f>'F1'!F53</f>
        <v>4</v>
      </c>
    </row>
    <row r="53" spans="1:15">
      <c r="A53" s="159">
        <f>'F1'!A54</f>
        <v>43</v>
      </c>
      <c r="B53" s="104" t="str">
        <f>'F1'!B54</f>
        <v>4.2.2</v>
      </c>
      <c r="C53" s="204">
        <v>3</v>
      </c>
      <c r="D53" s="205">
        <v>3.5</v>
      </c>
      <c r="E53" s="205">
        <v>3</v>
      </c>
      <c r="F53" s="205">
        <v>3</v>
      </c>
      <c r="G53" s="205">
        <v>3</v>
      </c>
      <c r="H53" s="205">
        <v>4</v>
      </c>
      <c r="I53" s="173">
        <f t="shared" si="0"/>
        <v>3.25</v>
      </c>
      <c r="J53" s="23">
        <f>'F3'!D48</f>
        <v>0</v>
      </c>
      <c r="K53" s="206"/>
      <c r="M53" s="161">
        <f>'F1'!E54</f>
        <v>0.92</v>
      </c>
      <c r="N53" s="44">
        <f t="shared" si="1"/>
        <v>2.99</v>
      </c>
      <c r="O53" s="44">
        <f>'F1'!F54</f>
        <v>1</v>
      </c>
    </row>
    <row r="54" spans="1:15" ht="17.25" customHeight="1">
      <c r="A54" s="159">
        <f>'F1'!A55</f>
        <v>44</v>
      </c>
      <c r="B54" s="104" t="str">
        <f>'F1'!B55</f>
        <v>4.3.1.1</v>
      </c>
      <c r="C54" s="204">
        <v>3</v>
      </c>
      <c r="D54" s="204">
        <v>3.5</v>
      </c>
      <c r="E54" s="204">
        <v>3</v>
      </c>
      <c r="F54" s="204">
        <v>3</v>
      </c>
      <c r="G54" s="205">
        <v>3</v>
      </c>
      <c r="H54" s="205">
        <v>4</v>
      </c>
      <c r="I54" s="173">
        <f t="shared" si="0"/>
        <v>3.25</v>
      </c>
      <c r="J54" s="23">
        <f>'F3'!D49</f>
        <v>0</v>
      </c>
      <c r="K54" s="206"/>
      <c r="M54" s="161">
        <f>'F1'!E55</f>
        <v>2.76</v>
      </c>
      <c r="N54" s="44">
        <f t="shared" si="1"/>
        <v>8.9699999999999989</v>
      </c>
      <c r="O54" s="44">
        <f>'F1'!F55</f>
        <v>4</v>
      </c>
    </row>
    <row r="55" spans="1:15" ht="18" customHeight="1">
      <c r="A55" s="159">
        <f>'F1'!A56</f>
        <v>45</v>
      </c>
      <c r="B55" s="104" t="str">
        <f>'F1'!B56</f>
        <v>4.3.1.2</v>
      </c>
      <c r="C55" s="204">
        <v>3</v>
      </c>
      <c r="D55" s="204">
        <v>3.5</v>
      </c>
      <c r="E55" s="204">
        <v>3</v>
      </c>
      <c r="F55" s="204">
        <v>3</v>
      </c>
      <c r="G55" s="205">
        <v>3</v>
      </c>
      <c r="H55" s="205">
        <v>4</v>
      </c>
      <c r="I55" s="173">
        <f t="shared" si="0"/>
        <v>3.25</v>
      </c>
      <c r="J55" s="23">
        <f>'F3'!D50</f>
        <v>0</v>
      </c>
      <c r="K55" s="206"/>
      <c r="M55" s="161">
        <f>'F1'!E56</f>
        <v>0.92</v>
      </c>
      <c r="N55" s="44">
        <f t="shared" si="1"/>
        <v>2.99</v>
      </c>
      <c r="O55" s="44">
        <f>'F1'!F56</f>
        <v>2</v>
      </c>
    </row>
    <row r="56" spans="1:15" ht="18.75" customHeight="1">
      <c r="A56" s="159">
        <f>'F1'!A57</f>
        <v>46</v>
      </c>
      <c r="B56" s="104" t="str">
        <f>'F1'!B57</f>
        <v>4.3.1.3</v>
      </c>
      <c r="C56" s="204">
        <v>3</v>
      </c>
      <c r="D56" s="204">
        <v>3.5</v>
      </c>
      <c r="E56" s="204">
        <v>3</v>
      </c>
      <c r="F56" s="204">
        <v>3</v>
      </c>
      <c r="G56" s="205">
        <v>3</v>
      </c>
      <c r="H56" s="205">
        <v>4</v>
      </c>
      <c r="I56" s="173">
        <f t="shared" si="0"/>
        <v>3.25</v>
      </c>
      <c r="J56" s="23">
        <f>'F3'!D51</f>
        <v>0</v>
      </c>
      <c r="K56" s="206"/>
      <c r="M56" s="161">
        <f>'F1'!E57</f>
        <v>0.92</v>
      </c>
      <c r="N56" s="44">
        <f t="shared" si="1"/>
        <v>2.99</v>
      </c>
      <c r="O56" s="44">
        <f>'F1'!F57</f>
        <v>2</v>
      </c>
    </row>
    <row r="57" spans="1:15">
      <c r="A57" s="159">
        <f>'F1'!A58</f>
        <v>47</v>
      </c>
      <c r="B57" s="104" t="str">
        <f>'F1'!B58</f>
        <v>4.3.2</v>
      </c>
      <c r="C57" s="204">
        <v>3</v>
      </c>
      <c r="D57" s="205">
        <v>3.5</v>
      </c>
      <c r="E57" s="205">
        <v>3</v>
      </c>
      <c r="F57" s="205">
        <v>3</v>
      </c>
      <c r="G57" s="205">
        <v>3</v>
      </c>
      <c r="H57" s="205">
        <v>4</v>
      </c>
      <c r="I57" s="173">
        <f t="shared" si="0"/>
        <v>3.25</v>
      </c>
      <c r="J57" s="23">
        <f>'F3'!D52</f>
        <v>0</v>
      </c>
      <c r="K57" s="206"/>
      <c r="M57" s="161">
        <f>'F1'!E58</f>
        <v>1.84</v>
      </c>
      <c r="N57" s="44">
        <f t="shared" si="1"/>
        <v>5.98</v>
      </c>
      <c r="O57" s="44">
        <f>'F1'!F58</f>
        <v>4</v>
      </c>
    </row>
    <row r="58" spans="1:15">
      <c r="A58" s="159">
        <f>'F1'!A59</f>
        <v>48</v>
      </c>
      <c r="B58" s="104">
        <f>'F1'!B59</f>
        <v>4.4000000000000004</v>
      </c>
      <c r="C58" s="204">
        <v>3</v>
      </c>
      <c r="D58" s="205">
        <v>3.5</v>
      </c>
      <c r="E58" s="205">
        <v>3</v>
      </c>
      <c r="F58" s="205">
        <v>3</v>
      </c>
      <c r="G58" s="205">
        <v>3</v>
      </c>
      <c r="H58" s="205">
        <v>4</v>
      </c>
      <c r="I58" s="173">
        <f t="shared" si="0"/>
        <v>3.25</v>
      </c>
      <c r="J58" s="23">
        <f>'F3'!D53</f>
        <v>0</v>
      </c>
      <c r="K58" s="206"/>
      <c r="M58" s="161">
        <f>'F1'!E59</f>
        <v>1.84</v>
      </c>
      <c r="N58" s="44">
        <f t="shared" si="1"/>
        <v>5.98</v>
      </c>
      <c r="O58" s="44">
        <f>'F1'!F59</f>
        <v>4</v>
      </c>
    </row>
    <row r="59" spans="1:15" ht="17.25" customHeight="1">
      <c r="A59" s="159">
        <f>'F1'!A60</f>
        <v>49</v>
      </c>
      <c r="B59" s="104" t="str">
        <f>'F1'!B60</f>
        <v>4.5.1.1</v>
      </c>
      <c r="C59" s="204">
        <v>3</v>
      </c>
      <c r="D59" s="204">
        <v>3.5</v>
      </c>
      <c r="E59" s="204">
        <v>3</v>
      </c>
      <c r="F59" s="204">
        <v>3</v>
      </c>
      <c r="G59" s="205">
        <v>3</v>
      </c>
      <c r="H59" s="205">
        <v>4</v>
      </c>
      <c r="I59" s="173">
        <f t="shared" si="0"/>
        <v>3.25</v>
      </c>
      <c r="J59" s="23">
        <f>'F3'!D54</f>
        <v>0</v>
      </c>
      <c r="K59" s="206"/>
      <c r="M59" s="161">
        <f>'F1'!E60</f>
        <v>0.92</v>
      </c>
      <c r="N59" s="44">
        <f t="shared" si="1"/>
        <v>2.99</v>
      </c>
      <c r="O59" s="44">
        <f>'F1'!F60</f>
        <v>2.5</v>
      </c>
    </row>
    <row r="60" spans="1:15" ht="17.25" customHeight="1">
      <c r="A60" s="159">
        <f>'F1'!A61</f>
        <v>50</v>
      </c>
      <c r="B60" s="104" t="str">
        <f>'F1'!B61</f>
        <v>4.5.1.2</v>
      </c>
      <c r="C60" s="204">
        <v>3</v>
      </c>
      <c r="D60" s="204">
        <v>3.5</v>
      </c>
      <c r="E60" s="204">
        <v>3</v>
      </c>
      <c r="F60" s="204">
        <v>3</v>
      </c>
      <c r="G60" s="205">
        <v>3</v>
      </c>
      <c r="H60" s="205">
        <v>4</v>
      </c>
      <c r="I60" s="173">
        <f t="shared" si="0"/>
        <v>3.25</v>
      </c>
      <c r="J60" s="23">
        <f>'F3'!D55</f>
        <v>0</v>
      </c>
      <c r="K60" s="206"/>
      <c r="M60" s="161">
        <f>'F1'!E61</f>
        <v>0.92</v>
      </c>
      <c r="N60" s="44">
        <f t="shared" si="1"/>
        <v>2.99</v>
      </c>
      <c r="O60" s="44">
        <f>'F1'!F61</f>
        <v>2.25</v>
      </c>
    </row>
    <row r="61" spans="1:15" ht="17.25" customHeight="1">
      <c r="A61" s="159">
        <f>'F1'!A62</f>
        <v>51</v>
      </c>
      <c r="B61" s="104" t="str">
        <f>'F1'!B62</f>
        <v>4.5.1.3</v>
      </c>
      <c r="C61" s="204">
        <v>3</v>
      </c>
      <c r="D61" s="204">
        <v>3.5</v>
      </c>
      <c r="E61" s="204">
        <v>3</v>
      </c>
      <c r="F61" s="204">
        <v>3</v>
      </c>
      <c r="G61" s="205">
        <v>3</v>
      </c>
      <c r="H61" s="205">
        <v>4</v>
      </c>
      <c r="I61" s="173">
        <f t="shared" si="0"/>
        <v>3.25</v>
      </c>
      <c r="J61" s="23">
        <f>'F3'!D56</f>
        <v>0</v>
      </c>
      <c r="K61" s="206"/>
      <c r="M61" s="161">
        <f>'F1'!E62</f>
        <v>0.92</v>
      </c>
      <c r="N61" s="44">
        <f t="shared" si="1"/>
        <v>2.99</v>
      </c>
      <c r="O61" s="44">
        <f>'F1'!F62</f>
        <v>2.75</v>
      </c>
    </row>
    <row r="62" spans="1:15" ht="17.25" customHeight="1">
      <c r="A62" s="159">
        <f>'F1'!A63</f>
        <v>52</v>
      </c>
      <c r="B62" s="104" t="str">
        <f>'F1'!B63</f>
        <v>4.5.1.4</v>
      </c>
      <c r="C62" s="204">
        <v>3</v>
      </c>
      <c r="D62" s="204">
        <v>3.5</v>
      </c>
      <c r="E62" s="204">
        <v>3</v>
      </c>
      <c r="F62" s="204">
        <v>3</v>
      </c>
      <c r="G62" s="205">
        <v>3</v>
      </c>
      <c r="H62" s="205">
        <v>4</v>
      </c>
      <c r="I62" s="173">
        <f t="shared" si="0"/>
        <v>3.25</v>
      </c>
      <c r="J62" s="23">
        <f>'F3'!D57</f>
        <v>0</v>
      </c>
      <c r="K62" s="206"/>
      <c r="M62" s="161">
        <f>'F1'!E63</f>
        <v>0.92</v>
      </c>
      <c r="N62" s="44">
        <f t="shared" si="1"/>
        <v>2.99</v>
      </c>
      <c r="O62" s="44">
        <f>'F1'!F63</f>
        <v>0.5714285714285714</v>
      </c>
    </row>
    <row r="63" spans="1:15">
      <c r="A63" s="159">
        <f>'F1'!A64</f>
        <v>53</v>
      </c>
      <c r="B63" s="104" t="str">
        <f>'F1'!B64</f>
        <v>4.5.2</v>
      </c>
      <c r="C63" s="204">
        <v>3</v>
      </c>
      <c r="D63" s="205">
        <v>3.5</v>
      </c>
      <c r="E63" s="205">
        <v>3</v>
      </c>
      <c r="F63" s="205">
        <v>3</v>
      </c>
      <c r="G63" s="205">
        <v>3</v>
      </c>
      <c r="H63" s="205">
        <v>4</v>
      </c>
      <c r="I63" s="173">
        <f t="shared" si="0"/>
        <v>3.25</v>
      </c>
      <c r="J63" s="23">
        <f>'F3'!D58</f>
        <v>0</v>
      </c>
      <c r="K63" s="206"/>
      <c r="M63" s="161">
        <f>'F1'!E64</f>
        <v>0.92</v>
      </c>
      <c r="N63" s="44">
        <f t="shared" si="1"/>
        <v>2.99</v>
      </c>
      <c r="O63" s="44">
        <f>'F1'!F64</f>
        <v>2.75</v>
      </c>
    </row>
    <row r="64" spans="1:15">
      <c r="A64" s="159">
        <f>'F1'!A65</f>
        <v>54</v>
      </c>
      <c r="B64" s="104" t="str">
        <f>'F1'!B65</f>
        <v>4.6.1</v>
      </c>
      <c r="C64" s="204">
        <v>3</v>
      </c>
      <c r="D64" s="205">
        <v>3.5</v>
      </c>
      <c r="E64" s="205">
        <v>3</v>
      </c>
      <c r="F64" s="205">
        <v>3</v>
      </c>
      <c r="G64" s="205">
        <v>3</v>
      </c>
      <c r="H64" s="205">
        <v>4</v>
      </c>
      <c r="I64" s="173">
        <f t="shared" si="0"/>
        <v>3.25</v>
      </c>
      <c r="J64" s="23">
        <f>'F3'!D59</f>
        <v>0</v>
      </c>
      <c r="K64" s="206"/>
      <c r="M64" s="161">
        <f>'F1'!E65</f>
        <v>0.92</v>
      </c>
      <c r="N64" s="44">
        <f t="shared" si="1"/>
        <v>2.99</v>
      </c>
      <c r="O64" s="44">
        <f>'F1'!F65</f>
        <v>2.75</v>
      </c>
    </row>
    <row r="65" spans="1:15">
      <c r="A65" s="159">
        <f>'F1'!A66</f>
        <v>55</v>
      </c>
      <c r="B65" s="104" t="str">
        <f>'F1'!B66</f>
        <v>4.6.2</v>
      </c>
      <c r="C65" s="204">
        <v>3</v>
      </c>
      <c r="D65" s="205">
        <v>3.5</v>
      </c>
      <c r="E65" s="205">
        <v>3</v>
      </c>
      <c r="F65" s="205">
        <v>3</v>
      </c>
      <c r="G65" s="205">
        <v>3</v>
      </c>
      <c r="H65" s="205">
        <v>4</v>
      </c>
      <c r="I65" s="173">
        <f t="shared" si="0"/>
        <v>3.25</v>
      </c>
      <c r="J65" s="23">
        <f>'F3'!D60</f>
        <v>0</v>
      </c>
      <c r="K65" s="206"/>
      <c r="M65" s="161">
        <f>'F1'!E66</f>
        <v>0.92</v>
      </c>
      <c r="N65" s="44">
        <f t="shared" si="1"/>
        <v>2.99</v>
      </c>
      <c r="O65" s="44">
        <f>'F1'!F66</f>
        <v>2.5</v>
      </c>
    </row>
    <row r="66" spans="1:15">
      <c r="A66" s="159">
        <f>'F1'!A67</f>
        <v>56</v>
      </c>
      <c r="B66" s="104" t="str">
        <f>'F1'!B67</f>
        <v>4.6.3</v>
      </c>
      <c r="C66" s="204">
        <v>3</v>
      </c>
      <c r="D66" s="205">
        <v>3.5</v>
      </c>
      <c r="E66" s="205">
        <v>3</v>
      </c>
      <c r="F66" s="205">
        <v>3</v>
      </c>
      <c r="G66" s="205">
        <v>3</v>
      </c>
      <c r="H66" s="205">
        <v>4</v>
      </c>
      <c r="I66" s="173">
        <f t="shared" si="0"/>
        <v>3.25</v>
      </c>
      <c r="J66" s="23">
        <f>'F3'!D61</f>
        <v>0</v>
      </c>
      <c r="K66" s="206"/>
      <c r="M66" s="161">
        <f>'F1'!E67</f>
        <v>0.92</v>
      </c>
      <c r="N66" s="44">
        <f t="shared" si="1"/>
        <v>2.99</v>
      </c>
      <c r="O66" s="44">
        <f>'F1'!F67</f>
        <v>2.6</v>
      </c>
    </row>
    <row r="67" spans="1:15">
      <c r="A67" s="159">
        <f>'F1'!A68</f>
        <v>57</v>
      </c>
      <c r="B67" s="104" t="str">
        <f>'F1'!B68</f>
        <v>5.1.1</v>
      </c>
      <c r="C67" s="204">
        <v>3</v>
      </c>
      <c r="D67" s="205">
        <v>3.5</v>
      </c>
      <c r="E67" s="205">
        <v>3</v>
      </c>
      <c r="F67" s="205">
        <v>3</v>
      </c>
      <c r="G67" s="205">
        <v>3</v>
      </c>
      <c r="H67" s="205">
        <v>4</v>
      </c>
      <c r="I67" s="173">
        <f t="shared" si="0"/>
        <v>3.25</v>
      </c>
      <c r="J67" s="23">
        <f>'F3'!D62</f>
        <v>0</v>
      </c>
      <c r="K67" s="206"/>
      <c r="M67" s="161">
        <f>'F1'!E68</f>
        <v>0.79</v>
      </c>
      <c r="N67" s="44">
        <f t="shared" si="1"/>
        <v>2.5674999999999999</v>
      </c>
      <c r="O67" s="44">
        <f>'F1'!F68</f>
        <v>2.7</v>
      </c>
    </row>
    <row r="68" spans="1:15">
      <c r="A68" s="159">
        <f>'F1'!A69</f>
        <v>58</v>
      </c>
      <c r="B68" s="104" t="str">
        <f>'F1'!B69</f>
        <v>5.1.2</v>
      </c>
      <c r="C68" s="204">
        <v>3</v>
      </c>
      <c r="D68" s="205">
        <v>3.5</v>
      </c>
      <c r="E68" s="205">
        <v>3</v>
      </c>
      <c r="F68" s="205">
        <v>3</v>
      </c>
      <c r="G68" s="205">
        <v>3</v>
      </c>
      <c r="H68" s="205">
        <v>4</v>
      </c>
      <c r="I68" s="173">
        <f t="shared" si="0"/>
        <v>3.25</v>
      </c>
      <c r="J68" s="23">
        <f>'F3'!D63</f>
        <v>0</v>
      </c>
      <c r="K68" s="206"/>
      <c r="M68" s="161">
        <f>'F1'!E69</f>
        <v>0.79</v>
      </c>
      <c r="N68" s="44">
        <f t="shared" si="1"/>
        <v>2.5674999999999999</v>
      </c>
      <c r="O68" s="44">
        <f>'F1'!F69</f>
        <v>3</v>
      </c>
    </row>
    <row r="69" spans="1:15">
      <c r="A69" s="159">
        <f>'F1'!A70</f>
        <v>59</v>
      </c>
      <c r="B69" s="104" t="str">
        <f>'F1'!B70</f>
        <v>5.2.1</v>
      </c>
      <c r="C69" s="204">
        <v>3</v>
      </c>
      <c r="D69" s="205">
        <v>3.5</v>
      </c>
      <c r="E69" s="205">
        <v>3</v>
      </c>
      <c r="F69" s="205">
        <v>3</v>
      </c>
      <c r="G69" s="205">
        <v>3</v>
      </c>
      <c r="H69" s="205">
        <v>4</v>
      </c>
      <c r="I69" s="173">
        <f t="shared" si="0"/>
        <v>3.25</v>
      </c>
      <c r="J69" s="23">
        <f>'F3'!D64</f>
        <v>0</v>
      </c>
      <c r="K69" s="206"/>
      <c r="M69" s="161">
        <f>'F1'!E70</f>
        <v>1.58</v>
      </c>
      <c r="N69" s="44">
        <f t="shared" si="1"/>
        <v>5.1349999999999998</v>
      </c>
      <c r="O69" s="44">
        <f>'F1'!F70</f>
        <v>4</v>
      </c>
    </row>
    <row r="70" spans="1:15">
      <c r="A70" s="159">
        <f>'F1'!A71</f>
        <v>60</v>
      </c>
      <c r="B70" s="104" t="str">
        <f>'F1'!B71</f>
        <v>5.2.2</v>
      </c>
      <c r="C70" s="204">
        <v>3</v>
      </c>
      <c r="D70" s="205">
        <v>3.5</v>
      </c>
      <c r="E70" s="205">
        <v>3</v>
      </c>
      <c r="F70" s="205">
        <v>3</v>
      </c>
      <c r="G70" s="205">
        <v>3</v>
      </c>
      <c r="H70" s="205">
        <v>4</v>
      </c>
      <c r="I70" s="173">
        <f t="shared" si="0"/>
        <v>3.25</v>
      </c>
      <c r="J70" s="23">
        <f>'F3'!D65</f>
        <v>0</v>
      </c>
      <c r="K70" s="206"/>
      <c r="M70" s="161">
        <f>'F1'!E71</f>
        <v>1.58</v>
      </c>
      <c r="N70" s="44">
        <f t="shared" si="1"/>
        <v>5.1349999999999998</v>
      </c>
      <c r="O70" s="44">
        <f>'F1'!F71</f>
        <v>3</v>
      </c>
    </row>
    <row r="71" spans="1:15">
      <c r="A71" s="159">
        <f>'F1'!A72</f>
        <v>61</v>
      </c>
      <c r="B71" s="104" t="str">
        <f>'F1'!B72</f>
        <v>5.2.3</v>
      </c>
      <c r="C71" s="204">
        <v>3</v>
      </c>
      <c r="D71" s="205">
        <v>3.5</v>
      </c>
      <c r="E71" s="205">
        <v>3</v>
      </c>
      <c r="F71" s="205">
        <v>3</v>
      </c>
      <c r="G71" s="205">
        <v>3</v>
      </c>
      <c r="H71" s="205">
        <v>4</v>
      </c>
      <c r="I71" s="173">
        <f t="shared" si="0"/>
        <v>3.25</v>
      </c>
      <c r="J71" s="23">
        <f>'F3'!D66</f>
        <v>0</v>
      </c>
      <c r="K71" s="206"/>
      <c r="M71" s="161">
        <f>'F1'!E72</f>
        <v>0.79</v>
      </c>
      <c r="N71" s="44">
        <f t="shared" si="1"/>
        <v>2.5674999999999999</v>
      </c>
      <c r="O71" s="44">
        <f>'F1'!F72</f>
        <v>3</v>
      </c>
    </row>
    <row r="72" spans="1:15">
      <c r="A72" s="159">
        <f>'F1'!A73</f>
        <v>62</v>
      </c>
      <c r="B72" s="104" t="str">
        <f>'F1'!B73</f>
        <v>5.3.1</v>
      </c>
      <c r="C72" s="204">
        <v>3</v>
      </c>
      <c r="D72" s="205">
        <v>3.5</v>
      </c>
      <c r="E72" s="205">
        <v>3</v>
      </c>
      <c r="F72" s="205">
        <v>3</v>
      </c>
      <c r="G72" s="205">
        <v>3</v>
      </c>
      <c r="H72" s="205">
        <v>4</v>
      </c>
      <c r="I72" s="173">
        <f t="shared" si="0"/>
        <v>3.25</v>
      </c>
      <c r="J72" s="23">
        <f>'F3'!D67</f>
        <v>0</v>
      </c>
      <c r="K72" s="206"/>
      <c r="M72" s="161">
        <f>'F1'!E73</f>
        <v>0.79</v>
      </c>
      <c r="N72" s="44">
        <f t="shared" si="1"/>
        <v>2.5674999999999999</v>
      </c>
      <c r="O72" s="44">
        <f>'F1'!F73</f>
        <v>4</v>
      </c>
    </row>
    <row r="73" spans="1:15">
      <c r="A73" s="159">
        <f>'F1'!A74</f>
        <v>63</v>
      </c>
      <c r="B73" s="104" t="str">
        <f>'F1'!B74</f>
        <v>5.3.2</v>
      </c>
      <c r="C73" s="204">
        <v>3</v>
      </c>
      <c r="D73" s="205">
        <v>3.5</v>
      </c>
      <c r="E73" s="205">
        <v>3</v>
      </c>
      <c r="F73" s="205">
        <v>3</v>
      </c>
      <c r="G73" s="205">
        <v>3</v>
      </c>
      <c r="H73" s="205">
        <v>4</v>
      </c>
      <c r="I73" s="173">
        <f t="shared" si="0"/>
        <v>3.25</v>
      </c>
      <c r="J73" s="23">
        <f>'F3'!D68</f>
        <v>0</v>
      </c>
      <c r="K73" s="206"/>
      <c r="M73" s="161">
        <f>'F1'!E74</f>
        <v>1.58</v>
      </c>
      <c r="N73" s="44">
        <f t="shared" si="1"/>
        <v>5.1349999999999998</v>
      </c>
      <c r="O73" s="44">
        <f>'F1'!F74</f>
        <v>2</v>
      </c>
    </row>
    <row r="74" spans="1:15">
      <c r="A74" s="159">
        <f>'F1'!A75</f>
        <v>64</v>
      </c>
      <c r="B74" s="104" t="str">
        <f>'F1'!B75</f>
        <v>6.1.1</v>
      </c>
      <c r="C74" s="204">
        <v>3</v>
      </c>
      <c r="D74" s="205">
        <v>3.5</v>
      </c>
      <c r="E74" s="205">
        <v>3</v>
      </c>
      <c r="F74" s="205">
        <v>3</v>
      </c>
      <c r="G74" s="205">
        <v>3</v>
      </c>
      <c r="H74" s="205">
        <v>4</v>
      </c>
      <c r="I74" s="173">
        <f t="shared" si="0"/>
        <v>3.25</v>
      </c>
      <c r="J74" s="23">
        <f>'F3'!D69</f>
        <v>0</v>
      </c>
      <c r="K74" s="206"/>
      <c r="M74" s="161">
        <f>'F1'!E75</f>
        <v>0.61</v>
      </c>
      <c r="N74" s="44">
        <f t="shared" si="1"/>
        <v>1.9824999999999999</v>
      </c>
      <c r="O74" s="44">
        <f>'F1'!F75</f>
        <v>3</v>
      </c>
    </row>
    <row r="75" spans="1:15">
      <c r="A75" s="159">
        <f>'F1'!A76</f>
        <v>65</v>
      </c>
      <c r="B75" s="104" t="str">
        <f>'F1'!B76</f>
        <v>6.1.2</v>
      </c>
      <c r="C75" s="204">
        <v>3</v>
      </c>
      <c r="D75" s="205">
        <v>3.5</v>
      </c>
      <c r="E75" s="205">
        <v>3</v>
      </c>
      <c r="F75" s="205">
        <v>3</v>
      </c>
      <c r="G75" s="205">
        <v>3</v>
      </c>
      <c r="H75" s="205">
        <v>4</v>
      </c>
      <c r="I75" s="173">
        <f t="shared" si="0"/>
        <v>3.25</v>
      </c>
      <c r="J75" s="23">
        <f>'F3'!D70</f>
        <v>0</v>
      </c>
      <c r="K75" s="206"/>
      <c r="M75" s="161">
        <f>'F1'!E76</f>
        <v>0.61</v>
      </c>
      <c r="N75" s="44">
        <f t="shared" si="1"/>
        <v>1.9824999999999999</v>
      </c>
      <c r="O75" s="44">
        <f>'F1'!F76</f>
        <v>2</v>
      </c>
    </row>
    <row r="76" spans="1:15">
      <c r="A76" s="159">
        <f>'F1'!A77</f>
        <v>66</v>
      </c>
      <c r="B76" s="104" t="str">
        <f>'F1'!B77</f>
        <v>6.1.3</v>
      </c>
      <c r="C76" s="204">
        <v>3</v>
      </c>
      <c r="D76" s="205">
        <v>3.5</v>
      </c>
      <c r="E76" s="205">
        <v>3</v>
      </c>
      <c r="F76" s="205">
        <v>3</v>
      </c>
      <c r="G76" s="205">
        <v>3</v>
      </c>
      <c r="H76" s="205">
        <v>4</v>
      </c>
      <c r="I76" s="173">
        <f t="shared" ref="I76:I111" si="2">SUM(C76:H76)/COUNT(C76:H76)</f>
        <v>3.25</v>
      </c>
      <c r="J76" s="23">
        <f>'F3'!D71</f>
        <v>0</v>
      </c>
      <c r="K76" s="206"/>
      <c r="M76" s="161">
        <f>'F1'!E77</f>
        <v>0.61</v>
      </c>
      <c r="N76" s="44">
        <f t="shared" ref="N76:N111" si="3">I76*M76</f>
        <v>1.9824999999999999</v>
      </c>
      <c r="O76" s="44">
        <f>'F1'!F77</f>
        <v>3</v>
      </c>
    </row>
    <row r="77" spans="1:15">
      <c r="A77" s="159">
        <f>'F1'!A78</f>
        <v>67</v>
      </c>
      <c r="B77" s="104" t="str">
        <f>'F1'!B78</f>
        <v>6.1.4</v>
      </c>
      <c r="C77" s="204">
        <v>3</v>
      </c>
      <c r="D77" s="205">
        <v>3.5</v>
      </c>
      <c r="E77" s="205">
        <v>3</v>
      </c>
      <c r="F77" s="205">
        <v>3</v>
      </c>
      <c r="G77" s="205">
        <v>3</v>
      </c>
      <c r="H77" s="205">
        <v>4</v>
      </c>
      <c r="I77" s="173">
        <f t="shared" si="2"/>
        <v>3.25</v>
      </c>
      <c r="J77" s="23">
        <f>'F3'!D72</f>
        <v>0</v>
      </c>
      <c r="K77" s="206"/>
      <c r="M77" s="161">
        <f>'F1'!E78</f>
        <v>1.23</v>
      </c>
      <c r="N77" s="44">
        <f t="shared" si="3"/>
        <v>3.9975000000000001</v>
      </c>
      <c r="O77" s="44">
        <f>'F1'!F78</f>
        <v>4</v>
      </c>
    </row>
    <row r="78" spans="1:15">
      <c r="A78" s="159">
        <f>'F1'!A79</f>
        <v>68</v>
      </c>
      <c r="B78" s="104" t="str">
        <f>'F1'!B79</f>
        <v>6.1.5</v>
      </c>
      <c r="C78" s="204">
        <v>3</v>
      </c>
      <c r="D78" s="205">
        <v>3.5</v>
      </c>
      <c r="E78" s="205">
        <v>3</v>
      </c>
      <c r="F78" s="205">
        <v>3</v>
      </c>
      <c r="G78" s="205">
        <v>3</v>
      </c>
      <c r="H78" s="205">
        <v>4</v>
      </c>
      <c r="I78" s="173">
        <f t="shared" si="2"/>
        <v>3.25</v>
      </c>
      <c r="J78" s="23">
        <f>'F3'!D73</f>
        <v>0</v>
      </c>
      <c r="K78" s="206"/>
      <c r="M78" s="161">
        <f>'F1'!E79</f>
        <v>1.23</v>
      </c>
      <c r="N78" s="44">
        <f t="shared" si="3"/>
        <v>3.9975000000000001</v>
      </c>
      <c r="O78" s="44">
        <f>'F1'!F79</f>
        <v>2.8888888888888888</v>
      </c>
    </row>
    <row r="79" spans="1:15">
      <c r="A79" s="159">
        <f>'F1'!A80</f>
        <v>69</v>
      </c>
      <c r="B79" s="104" t="str">
        <f>'F1'!B80</f>
        <v>6.1.6</v>
      </c>
      <c r="C79" s="204">
        <v>3</v>
      </c>
      <c r="D79" s="205">
        <v>3.5</v>
      </c>
      <c r="E79" s="205">
        <v>3</v>
      </c>
      <c r="F79" s="205">
        <v>3</v>
      </c>
      <c r="G79" s="205">
        <v>3</v>
      </c>
      <c r="H79" s="205">
        <v>4</v>
      </c>
      <c r="I79" s="173">
        <f t="shared" si="2"/>
        <v>3.25</v>
      </c>
      <c r="J79" s="23">
        <f>'F3'!D74</f>
        <v>0</v>
      </c>
      <c r="K79" s="206"/>
      <c r="M79" s="161">
        <f>'F1'!E80</f>
        <v>1.23</v>
      </c>
      <c r="N79" s="44">
        <f t="shared" si="3"/>
        <v>3.9975000000000001</v>
      </c>
      <c r="O79" s="44">
        <f>'F1'!F80</f>
        <v>4</v>
      </c>
    </row>
    <row r="80" spans="1:15">
      <c r="A80" s="159">
        <f>'F1'!A81</f>
        <v>70</v>
      </c>
      <c r="B80" s="104" t="str">
        <f>'F1'!B81</f>
        <v>6.1.7</v>
      </c>
      <c r="C80" s="204">
        <v>3</v>
      </c>
      <c r="D80" s="205">
        <v>3.5</v>
      </c>
      <c r="E80" s="205">
        <v>3</v>
      </c>
      <c r="F80" s="205">
        <v>3</v>
      </c>
      <c r="G80" s="205">
        <v>3</v>
      </c>
      <c r="H80" s="205">
        <v>4</v>
      </c>
      <c r="I80" s="173">
        <f t="shared" si="2"/>
        <v>3.25</v>
      </c>
      <c r="J80" s="23">
        <f>'F3'!D75</f>
        <v>0</v>
      </c>
      <c r="K80" s="206"/>
      <c r="M80" s="161">
        <f>'F1'!E81</f>
        <v>0.61</v>
      </c>
      <c r="N80" s="44">
        <f t="shared" si="3"/>
        <v>1.9824999999999999</v>
      </c>
      <c r="O80" s="44">
        <f>'F1'!F81</f>
        <v>4</v>
      </c>
    </row>
    <row r="81" spans="1:15">
      <c r="A81" s="159">
        <f>'F1'!A82</f>
        <v>71</v>
      </c>
      <c r="B81" s="104" t="str">
        <f>'F1'!B82</f>
        <v>6.1.8</v>
      </c>
      <c r="C81" s="204">
        <v>3</v>
      </c>
      <c r="D81" s="205">
        <v>3.5</v>
      </c>
      <c r="E81" s="205">
        <v>3</v>
      </c>
      <c r="F81" s="205">
        <v>3</v>
      </c>
      <c r="G81" s="205">
        <v>3</v>
      </c>
      <c r="H81" s="205">
        <v>4</v>
      </c>
      <c r="I81" s="173">
        <f t="shared" si="2"/>
        <v>3.25</v>
      </c>
      <c r="J81" s="23">
        <f>'F3'!D76</f>
        <v>0</v>
      </c>
      <c r="K81" s="206"/>
      <c r="M81" s="161">
        <f>'F1'!E82</f>
        <v>0.61</v>
      </c>
      <c r="N81" s="44">
        <f t="shared" si="3"/>
        <v>1.9824999999999999</v>
      </c>
      <c r="O81" s="44">
        <f>'F1'!F82</f>
        <v>3</v>
      </c>
    </row>
    <row r="82" spans="1:15">
      <c r="A82" s="159">
        <f>'F1'!A83</f>
        <v>72</v>
      </c>
      <c r="B82" s="104" t="str">
        <f>'F1'!B83</f>
        <v>6.1.9</v>
      </c>
      <c r="C82" s="204">
        <v>3</v>
      </c>
      <c r="D82" s="205">
        <v>3.5</v>
      </c>
      <c r="E82" s="205">
        <v>3</v>
      </c>
      <c r="F82" s="205">
        <v>3</v>
      </c>
      <c r="G82" s="205">
        <v>3</v>
      </c>
      <c r="H82" s="205">
        <v>4</v>
      </c>
      <c r="I82" s="173">
        <f t="shared" si="2"/>
        <v>3.25</v>
      </c>
      <c r="J82" s="23">
        <f>'F3'!D77</f>
        <v>0</v>
      </c>
      <c r="K82" s="206"/>
      <c r="M82" s="161">
        <f>'F1'!E83</f>
        <v>0.61</v>
      </c>
      <c r="N82" s="44">
        <f t="shared" si="3"/>
        <v>1.9824999999999999</v>
      </c>
      <c r="O82" s="44">
        <f>'F1'!F83</f>
        <v>3</v>
      </c>
    </row>
    <row r="83" spans="1:15">
      <c r="A83" s="159">
        <f>'F1'!A84</f>
        <v>73</v>
      </c>
      <c r="B83" s="104" t="str">
        <f>'F1'!B84</f>
        <v>6.2.1</v>
      </c>
      <c r="C83" s="204">
        <v>3</v>
      </c>
      <c r="D83" s="205">
        <v>3.5</v>
      </c>
      <c r="E83" s="205">
        <v>3</v>
      </c>
      <c r="F83" s="205">
        <v>3</v>
      </c>
      <c r="G83" s="205">
        <v>3</v>
      </c>
      <c r="H83" s="205">
        <v>4</v>
      </c>
      <c r="I83" s="173">
        <f t="shared" si="2"/>
        <v>3.25</v>
      </c>
      <c r="J83" s="23">
        <f>'F3'!D78</f>
        <v>0</v>
      </c>
      <c r="K83" s="206"/>
      <c r="M83" s="161">
        <f>'F1'!E84</f>
        <v>0.61</v>
      </c>
      <c r="N83" s="44">
        <f t="shared" si="3"/>
        <v>1.9824999999999999</v>
      </c>
      <c r="O83" s="44">
        <f>'F1'!F84</f>
        <v>3</v>
      </c>
    </row>
    <row r="84" spans="1:15">
      <c r="A84" s="159">
        <f>'F1'!A85</f>
        <v>74</v>
      </c>
      <c r="B84" s="104" t="str">
        <f>'F1'!B85</f>
        <v>6.2.2</v>
      </c>
      <c r="C84" s="204">
        <v>3</v>
      </c>
      <c r="D84" s="205">
        <v>3.5</v>
      </c>
      <c r="E84" s="205">
        <v>3</v>
      </c>
      <c r="F84" s="205">
        <v>3</v>
      </c>
      <c r="G84" s="205">
        <v>3</v>
      </c>
      <c r="H84" s="205">
        <v>4</v>
      </c>
      <c r="I84" s="173">
        <f t="shared" si="2"/>
        <v>3.25</v>
      </c>
      <c r="J84" s="23">
        <f>'F3'!D79</f>
        <v>0</v>
      </c>
      <c r="K84" s="206"/>
      <c r="M84" s="161">
        <f>'F1'!E85</f>
        <v>1.23</v>
      </c>
      <c r="N84" s="44">
        <f t="shared" si="3"/>
        <v>3.9975000000000001</v>
      </c>
      <c r="O84" s="44">
        <f>'F1'!F85</f>
        <v>4</v>
      </c>
    </row>
    <row r="85" spans="1:15">
      <c r="A85" s="159">
        <f>'F1'!A86</f>
        <v>75</v>
      </c>
      <c r="B85" s="104" t="str">
        <f>'F1'!B86</f>
        <v>6.2.3</v>
      </c>
      <c r="C85" s="204">
        <v>3</v>
      </c>
      <c r="D85" s="205">
        <v>3.5</v>
      </c>
      <c r="E85" s="205">
        <v>3</v>
      </c>
      <c r="F85" s="205">
        <v>3</v>
      </c>
      <c r="G85" s="205">
        <v>3</v>
      </c>
      <c r="H85" s="205">
        <v>4</v>
      </c>
      <c r="I85" s="173">
        <f t="shared" si="2"/>
        <v>3.25</v>
      </c>
      <c r="J85" s="23">
        <f>'F3'!D80</f>
        <v>0</v>
      </c>
      <c r="K85" s="206"/>
      <c r="M85" s="161">
        <f>'F1'!E86</f>
        <v>2.46</v>
      </c>
      <c r="N85" s="44">
        <f t="shared" si="3"/>
        <v>7.9950000000000001</v>
      </c>
      <c r="O85" s="44">
        <f>'F1'!F86</f>
        <v>3</v>
      </c>
    </row>
    <row r="86" spans="1:15">
      <c r="A86" s="159">
        <f>'F1'!A87</f>
        <v>76</v>
      </c>
      <c r="B86" s="104" t="str">
        <f>'F1'!B87</f>
        <v>6.2.4</v>
      </c>
      <c r="C86" s="204">
        <v>3</v>
      </c>
      <c r="D86" s="205">
        <v>3.5</v>
      </c>
      <c r="E86" s="205">
        <v>3</v>
      </c>
      <c r="F86" s="205">
        <v>3</v>
      </c>
      <c r="G86" s="205">
        <v>3</v>
      </c>
      <c r="H86" s="205">
        <v>4</v>
      </c>
      <c r="I86" s="173">
        <f t="shared" si="2"/>
        <v>3.25</v>
      </c>
      <c r="J86" s="23">
        <f>'F3'!D81</f>
        <v>0</v>
      </c>
      <c r="K86" s="206"/>
      <c r="M86" s="161">
        <f>'F1'!E87</f>
        <v>0.61</v>
      </c>
      <c r="N86" s="44">
        <f t="shared" si="3"/>
        <v>1.9824999999999999</v>
      </c>
      <c r="O86" s="44">
        <f>'F1'!F87</f>
        <v>4</v>
      </c>
    </row>
    <row r="87" spans="1:15">
      <c r="A87" s="159">
        <f>'F1'!A88</f>
        <v>77</v>
      </c>
      <c r="B87" s="104" t="str">
        <f>'F1'!B88</f>
        <v>6.2.5</v>
      </c>
      <c r="C87" s="204">
        <v>3</v>
      </c>
      <c r="D87" s="205">
        <v>3.5</v>
      </c>
      <c r="E87" s="205">
        <v>3</v>
      </c>
      <c r="F87" s="205">
        <v>3</v>
      </c>
      <c r="G87" s="205">
        <v>3</v>
      </c>
      <c r="H87" s="205">
        <v>4</v>
      </c>
      <c r="I87" s="173">
        <f t="shared" si="2"/>
        <v>3.25</v>
      </c>
      <c r="J87" s="23">
        <f>'F3'!D82</f>
        <v>0</v>
      </c>
      <c r="K87" s="206"/>
      <c r="M87" s="161">
        <f>'F1'!E88</f>
        <v>1.23</v>
      </c>
      <c r="N87" s="44">
        <f t="shared" si="3"/>
        <v>3.9975000000000001</v>
      </c>
      <c r="O87" s="44">
        <f>'F1'!F88</f>
        <v>3.85</v>
      </c>
    </row>
    <row r="88" spans="1:15">
      <c r="A88" s="159">
        <f>'F1'!A89</f>
        <v>78</v>
      </c>
      <c r="B88" s="104" t="str">
        <f>'F1'!B89</f>
        <v>6.2.6</v>
      </c>
      <c r="C88" s="204">
        <v>3</v>
      </c>
      <c r="D88" s="205">
        <v>3.5</v>
      </c>
      <c r="E88" s="205">
        <v>3</v>
      </c>
      <c r="F88" s="205">
        <v>3</v>
      </c>
      <c r="G88" s="205">
        <v>3</v>
      </c>
      <c r="H88" s="205">
        <v>4</v>
      </c>
      <c r="I88" s="173">
        <f t="shared" si="2"/>
        <v>3.25</v>
      </c>
      <c r="J88" s="23">
        <f>'F3'!D83</f>
        <v>0</v>
      </c>
      <c r="K88" s="206"/>
      <c r="M88" s="161">
        <f>'F1'!E89</f>
        <v>0.61</v>
      </c>
      <c r="N88" s="44">
        <f t="shared" si="3"/>
        <v>1.9824999999999999</v>
      </c>
      <c r="O88" s="44">
        <f>'F1'!F89</f>
        <v>4</v>
      </c>
    </row>
    <row r="89" spans="1:15">
      <c r="A89" s="159">
        <f>'F1'!A90</f>
        <v>79</v>
      </c>
      <c r="B89" s="104" t="str">
        <f>'F1'!B90</f>
        <v>6.2.7</v>
      </c>
      <c r="C89" s="204">
        <v>3</v>
      </c>
      <c r="D89" s="205">
        <v>3.5</v>
      </c>
      <c r="E89" s="205">
        <v>3</v>
      </c>
      <c r="F89" s="205">
        <v>3</v>
      </c>
      <c r="G89" s="205">
        <v>3</v>
      </c>
      <c r="H89" s="205">
        <v>4</v>
      </c>
      <c r="I89" s="173">
        <f t="shared" si="2"/>
        <v>3.25</v>
      </c>
      <c r="J89" s="23">
        <f>'F3'!D84</f>
        <v>0</v>
      </c>
      <c r="K89" s="206"/>
      <c r="M89" s="161">
        <f>'F1'!E90</f>
        <v>1.23</v>
      </c>
      <c r="N89" s="44">
        <f t="shared" si="3"/>
        <v>3.9975000000000001</v>
      </c>
      <c r="O89" s="44">
        <f>'F1'!F90</f>
        <v>3</v>
      </c>
    </row>
    <row r="90" spans="1:15">
      <c r="A90" s="159">
        <f>'F1'!A91</f>
        <v>80</v>
      </c>
      <c r="B90" s="104" t="str">
        <f>'F1'!B91</f>
        <v>6.3.1</v>
      </c>
      <c r="C90" s="204">
        <v>3</v>
      </c>
      <c r="D90" s="205">
        <v>3.5</v>
      </c>
      <c r="E90" s="205">
        <v>3</v>
      </c>
      <c r="F90" s="205">
        <v>3</v>
      </c>
      <c r="G90" s="205">
        <v>3</v>
      </c>
      <c r="H90" s="205">
        <v>4</v>
      </c>
      <c r="I90" s="173">
        <f t="shared" si="2"/>
        <v>3.25</v>
      </c>
      <c r="J90" s="23">
        <f>'F3'!D85</f>
        <v>0</v>
      </c>
      <c r="K90" s="206"/>
      <c r="M90" s="161">
        <f>'F1'!E91</f>
        <v>0.61</v>
      </c>
      <c r="N90" s="44">
        <f t="shared" si="3"/>
        <v>1.9824999999999999</v>
      </c>
      <c r="O90" s="44">
        <f>'F1'!F91</f>
        <v>3</v>
      </c>
    </row>
    <row r="91" spans="1:15">
      <c r="A91" s="159">
        <f>'F1'!A92</f>
        <v>81</v>
      </c>
      <c r="B91" s="104" t="str">
        <f>'F1'!B92</f>
        <v>6.3.2</v>
      </c>
      <c r="C91" s="204">
        <v>3</v>
      </c>
      <c r="D91" s="205">
        <v>3.5</v>
      </c>
      <c r="E91" s="205">
        <v>3</v>
      </c>
      <c r="F91" s="205">
        <v>3</v>
      </c>
      <c r="G91" s="205">
        <v>3</v>
      </c>
      <c r="H91" s="205">
        <v>4</v>
      </c>
      <c r="I91" s="173">
        <f t="shared" si="2"/>
        <v>3.25</v>
      </c>
      <c r="J91" s="23">
        <f>'F3'!D86</f>
        <v>0</v>
      </c>
      <c r="K91" s="206"/>
      <c r="M91" s="161">
        <f>'F1'!E92</f>
        <v>0.31</v>
      </c>
      <c r="N91" s="44">
        <f t="shared" si="3"/>
        <v>1.0075000000000001</v>
      </c>
      <c r="O91" s="44">
        <f>'F1'!F92</f>
        <v>2</v>
      </c>
    </row>
    <row r="92" spans="1:15">
      <c r="A92" s="159">
        <f>'F1'!A93</f>
        <v>82</v>
      </c>
      <c r="B92" s="104" t="str">
        <f>'F1'!B93</f>
        <v>6.3.3</v>
      </c>
      <c r="C92" s="204">
        <v>3</v>
      </c>
      <c r="D92" s="205">
        <v>3.5</v>
      </c>
      <c r="E92" s="205">
        <v>3</v>
      </c>
      <c r="F92" s="205">
        <v>3</v>
      </c>
      <c r="G92" s="205">
        <v>3</v>
      </c>
      <c r="H92" s="205">
        <v>4</v>
      </c>
      <c r="I92" s="173">
        <f t="shared" si="2"/>
        <v>3.25</v>
      </c>
      <c r="J92" s="23">
        <f>'F3'!D87</f>
        <v>0</v>
      </c>
      <c r="K92" s="206"/>
      <c r="M92" s="161">
        <f>'F1'!E93</f>
        <v>0.31</v>
      </c>
      <c r="N92" s="44">
        <f t="shared" si="3"/>
        <v>1.0075000000000001</v>
      </c>
      <c r="O92" s="44">
        <f>'F1'!F93</f>
        <v>3</v>
      </c>
    </row>
    <row r="93" spans="1:15">
      <c r="A93" s="159">
        <f>'F1'!A94</f>
        <v>83</v>
      </c>
      <c r="B93" s="104" t="str">
        <f>'F1'!B94</f>
        <v>6.3.4</v>
      </c>
      <c r="C93" s="204">
        <v>3</v>
      </c>
      <c r="D93" s="205">
        <v>3.5</v>
      </c>
      <c r="E93" s="205">
        <v>3</v>
      </c>
      <c r="F93" s="205">
        <v>3</v>
      </c>
      <c r="G93" s="205">
        <v>3</v>
      </c>
      <c r="H93" s="205">
        <v>4</v>
      </c>
      <c r="I93" s="173">
        <f t="shared" si="2"/>
        <v>3.25</v>
      </c>
      <c r="J93" s="23">
        <f>'F3'!D88</f>
        <v>0</v>
      </c>
      <c r="K93" s="206"/>
      <c r="M93" s="161">
        <f>'F1'!E94</f>
        <v>0.31</v>
      </c>
      <c r="N93" s="44">
        <f t="shared" si="3"/>
        <v>1.0075000000000001</v>
      </c>
      <c r="O93" s="44">
        <f>'F1'!F94</f>
        <v>4</v>
      </c>
    </row>
    <row r="94" spans="1:15">
      <c r="A94" s="159">
        <f>'F1'!A95</f>
        <v>84</v>
      </c>
      <c r="B94" s="104" t="str">
        <f>'F1'!B95</f>
        <v>6.3.5</v>
      </c>
      <c r="C94" s="204">
        <v>3</v>
      </c>
      <c r="D94" s="205">
        <v>3.5</v>
      </c>
      <c r="E94" s="205">
        <v>3</v>
      </c>
      <c r="F94" s="205">
        <v>3</v>
      </c>
      <c r="G94" s="205">
        <v>3</v>
      </c>
      <c r="H94" s="205">
        <v>4</v>
      </c>
      <c r="I94" s="173">
        <f t="shared" si="2"/>
        <v>3.25</v>
      </c>
      <c r="J94" s="23">
        <f>'F3'!D89</f>
        <v>0</v>
      </c>
      <c r="K94" s="206"/>
      <c r="M94" s="161">
        <f>'F1'!E95</f>
        <v>0.31</v>
      </c>
      <c r="N94" s="44">
        <f t="shared" si="3"/>
        <v>1.0075000000000001</v>
      </c>
      <c r="O94" s="44">
        <f>'F1'!F95</f>
        <v>3</v>
      </c>
    </row>
    <row r="95" spans="1:15">
      <c r="A95" s="159">
        <f>'F1'!A96</f>
        <v>85</v>
      </c>
      <c r="B95" s="104" t="str">
        <f>'F1'!B96</f>
        <v>6.3.6</v>
      </c>
      <c r="C95" s="204">
        <v>3</v>
      </c>
      <c r="D95" s="205">
        <v>3.5</v>
      </c>
      <c r="E95" s="205">
        <v>3</v>
      </c>
      <c r="F95" s="205">
        <v>3</v>
      </c>
      <c r="G95" s="205">
        <v>3</v>
      </c>
      <c r="H95" s="205">
        <v>4</v>
      </c>
      <c r="I95" s="173">
        <f t="shared" si="2"/>
        <v>3.25</v>
      </c>
      <c r="J95" s="23">
        <f>'F3'!D90</f>
        <v>0</v>
      </c>
      <c r="K95" s="206"/>
      <c r="M95" s="161">
        <f>'F1'!E96</f>
        <v>0.31</v>
      </c>
      <c r="N95" s="44">
        <f t="shared" si="3"/>
        <v>1.0075000000000001</v>
      </c>
      <c r="O95" s="44">
        <f>'F1'!F96</f>
        <v>4</v>
      </c>
    </row>
    <row r="96" spans="1:15">
      <c r="A96" s="159">
        <f>'F1'!A97</f>
        <v>86</v>
      </c>
      <c r="B96" s="104" t="str">
        <f>'F1'!B97</f>
        <v>6.3.7</v>
      </c>
      <c r="C96" s="204">
        <v>3</v>
      </c>
      <c r="D96" s="205">
        <v>3.5</v>
      </c>
      <c r="E96" s="205">
        <v>3</v>
      </c>
      <c r="F96" s="205">
        <v>3</v>
      </c>
      <c r="G96" s="205">
        <v>3</v>
      </c>
      <c r="H96" s="205">
        <v>4</v>
      </c>
      <c r="I96" s="173">
        <f t="shared" si="2"/>
        <v>3.25</v>
      </c>
      <c r="J96" s="23">
        <f>'F3'!D91</f>
        <v>0</v>
      </c>
      <c r="K96" s="206"/>
      <c r="M96" s="161">
        <f>'F1'!E97</f>
        <v>0.61</v>
      </c>
      <c r="N96" s="44">
        <f t="shared" si="3"/>
        <v>1.9824999999999999</v>
      </c>
      <c r="O96" s="44">
        <f>'F1'!F97</f>
        <v>3.2307692307692308</v>
      </c>
    </row>
    <row r="97" spans="1:15">
      <c r="A97" s="159">
        <f>'F1'!A98</f>
        <v>87</v>
      </c>
      <c r="B97" s="104" t="str">
        <f>'F1'!B98</f>
        <v>6.3.8</v>
      </c>
      <c r="C97" s="204">
        <v>3</v>
      </c>
      <c r="D97" s="205">
        <v>3.5</v>
      </c>
      <c r="E97" s="205">
        <v>3</v>
      </c>
      <c r="F97" s="205">
        <v>3</v>
      </c>
      <c r="G97" s="205">
        <v>3</v>
      </c>
      <c r="H97" s="205">
        <v>4</v>
      </c>
      <c r="I97" s="173">
        <f t="shared" si="2"/>
        <v>3.25</v>
      </c>
      <c r="J97" s="23">
        <f>'F3'!D92</f>
        <v>0</v>
      </c>
      <c r="K97" s="206"/>
      <c r="M97" s="161">
        <f>'F1'!E98</f>
        <v>0.31</v>
      </c>
      <c r="N97" s="44">
        <f t="shared" si="3"/>
        <v>1.0075000000000001</v>
      </c>
      <c r="O97" s="44">
        <f>'F1'!F98</f>
        <v>3</v>
      </c>
    </row>
    <row r="98" spans="1:15">
      <c r="A98" s="159">
        <f>'F1'!A99</f>
        <v>88</v>
      </c>
      <c r="B98" s="104" t="str">
        <f>'F1'!B99</f>
        <v>7.1.1</v>
      </c>
      <c r="C98" s="204">
        <v>3</v>
      </c>
      <c r="D98" s="205">
        <v>3.5</v>
      </c>
      <c r="E98" s="205">
        <v>3</v>
      </c>
      <c r="F98" s="205">
        <v>3</v>
      </c>
      <c r="G98" s="205">
        <v>3</v>
      </c>
      <c r="H98" s="205">
        <v>4</v>
      </c>
      <c r="I98" s="173">
        <f t="shared" si="2"/>
        <v>3.25</v>
      </c>
      <c r="J98" s="23">
        <f>'F3'!D93</f>
        <v>0</v>
      </c>
      <c r="K98" s="206"/>
      <c r="M98" s="161">
        <f>'F1'!E99</f>
        <v>0.94</v>
      </c>
      <c r="N98" s="44">
        <f t="shared" si="3"/>
        <v>3.0549999999999997</v>
      </c>
      <c r="O98" s="44">
        <f>'F1'!F99</f>
        <v>4</v>
      </c>
    </row>
    <row r="99" spans="1:15">
      <c r="A99" s="159">
        <f>'F1'!A100</f>
        <v>89</v>
      </c>
      <c r="B99" s="104" t="str">
        <f>'F1'!B100</f>
        <v>7.1.2</v>
      </c>
      <c r="C99" s="204">
        <v>3</v>
      </c>
      <c r="D99" s="205">
        <v>3.5</v>
      </c>
      <c r="E99" s="205">
        <v>3</v>
      </c>
      <c r="F99" s="205">
        <v>3</v>
      </c>
      <c r="G99" s="205">
        <v>3</v>
      </c>
      <c r="H99" s="205">
        <v>4</v>
      </c>
      <c r="I99" s="173">
        <f t="shared" si="2"/>
        <v>3.25</v>
      </c>
      <c r="J99" s="23">
        <f>'F3'!D94</f>
        <v>0</v>
      </c>
      <c r="K99" s="206"/>
      <c r="M99" s="161">
        <f>'F1'!E100</f>
        <v>0.94</v>
      </c>
      <c r="N99" s="44">
        <f t="shared" si="3"/>
        <v>3.0549999999999997</v>
      </c>
      <c r="O99" s="44">
        <f>'F1'!F100</f>
        <v>2.6470588235294121</v>
      </c>
    </row>
    <row r="100" spans="1:15">
      <c r="A100" s="159">
        <f>'F1'!A101</f>
        <v>90</v>
      </c>
      <c r="B100" s="104" t="str">
        <f>'F1'!B101</f>
        <v>7.1.3</v>
      </c>
      <c r="C100" s="204">
        <v>3</v>
      </c>
      <c r="D100" s="205">
        <v>3.5</v>
      </c>
      <c r="E100" s="205">
        <v>3</v>
      </c>
      <c r="F100" s="205">
        <v>3</v>
      </c>
      <c r="G100" s="205">
        <v>3</v>
      </c>
      <c r="H100" s="205">
        <v>4</v>
      </c>
      <c r="I100" s="173">
        <f t="shared" si="2"/>
        <v>3.25</v>
      </c>
      <c r="J100" s="23">
        <f>'F3'!D95</f>
        <v>0</v>
      </c>
      <c r="K100" s="206"/>
      <c r="M100" s="161">
        <f>'F1'!E101</f>
        <v>0.94</v>
      </c>
      <c r="N100" s="44">
        <f t="shared" si="3"/>
        <v>3.0549999999999997</v>
      </c>
      <c r="O100" s="44">
        <f>'F1'!F101</f>
        <v>1.5686274509803921</v>
      </c>
    </row>
    <row r="101" spans="1:15">
      <c r="A101" s="159">
        <f>'F1'!A102</f>
        <v>91</v>
      </c>
      <c r="B101" s="104" t="str">
        <f>'F1'!B102</f>
        <v>7.1.4</v>
      </c>
      <c r="C101" s="204">
        <v>3</v>
      </c>
      <c r="D101" s="205">
        <v>3.5</v>
      </c>
      <c r="E101" s="205">
        <v>3</v>
      </c>
      <c r="F101" s="205">
        <v>3</v>
      </c>
      <c r="G101" s="205">
        <v>3</v>
      </c>
      <c r="H101" s="205">
        <v>4</v>
      </c>
      <c r="I101" s="173">
        <f t="shared" si="2"/>
        <v>3.25</v>
      </c>
      <c r="J101" s="23">
        <f>'F3'!D96</f>
        <v>0</v>
      </c>
      <c r="K101" s="206"/>
      <c r="M101" s="161">
        <f>'F1'!E102</f>
        <v>0.94</v>
      </c>
      <c r="N101" s="44">
        <f t="shared" si="3"/>
        <v>3.0549999999999997</v>
      </c>
      <c r="O101" s="44">
        <f>'F1'!F102</f>
        <v>2</v>
      </c>
    </row>
    <row r="102" spans="1:15">
      <c r="A102" s="159">
        <f>'F1'!A103</f>
        <v>92</v>
      </c>
      <c r="B102" s="104" t="str">
        <f>'F1'!B103</f>
        <v>7.1.5</v>
      </c>
      <c r="C102" s="204">
        <v>3</v>
      </c>
      <c r="D102" s="205">
        <v>3.5</v>
      </c>
      <c r="E102" s="205">
        <v>3</v>
      </c>
      <c r="F102" s="205">
        <v>3</v>
      </c>
      <c r="G102" s="205">
        <v>3</v>
      </c>
      <c r="H102" s="205">
        <v>4</v>
      </c>
      <c r="I102" s="173">
        <f t="shared" si="2"/>
        <v>3.25</v>
      </c>
      <c r="J102" s="23">
        <f>'F3'!D97</f>
        <v>0</v>
      </c>
      <c r="K102" s="206"/>
      <c r="M102" s="161">
        <f>'F1'!E103</f>
        <v>0.94</v>
      </c>
      <c r="N102" s="44">
        <f t="shared" si="3"/>
        <v>3.0549999999999997</v>
      </c>
      <c r="O102" s="44">
        <f>'F1'!F103</f>
        <v>2</v>
      </c>
    </row>
    <row r="103" spans="1:15">
      <c r="A103" s="159">
        <f>'F1'!A104</f>
        <v>93</v>
      </c>
      <c r="B103" s="104" t="str">
        <f>'F1'!B104</f>
        <v>7.1.6</v>
      </c>
      <c r="C103" s="204">
        <v>3</v>
      </c>
      <c r="D103" s="205">
        <v>3.5</v>
      </c>
      <c r="E103" s="205">
        <v>3</v>
      </c>
      <c r="F103" s="205">
        <v>3</v>
      </c>
      <c r="G103" s="205">
        <v>3</v>
      </c>
      <c r="H103" s="205">
        <v>4</v>
      </c>
      <c r="I103" s="173">
        <f t="shared" si="2"/>
        <v>3.25</v>
      </c>
      <c r="J103" s="23">
        <f>'F3'!D98</f>
        <v>0</v>
      </c>
      <c r="K103" s="206"/>
      <c r="M103" s="161">
        <f>'F1'!E104</f>
        <v>0.94</v>
      </c>
      <c r="N103" s="44">
        <f t="shared" si="3"/>
        <v>3.0549999999999997</v>
      </c>
      <c r="O103" s="44">
        <f>'F1'!F104</f>
        <v>1</v>
      </c>
    </row>
    <row r="104" spans="1:15">
      <c r="A104" s="159">
        <f>'F1'!A105</f>
        <v>94</v>
      </c>
      <c r="B104" s="104" t="str">
        <f>'F1'!B105</f>
        <v>7.2.1</v>
      </c>
      <c r="C104" s="204">
        <v>3</v>
      </c>
      <c r="D104" s="205">
        <v>3.5</v>
      </c>
      <c r="E104" s="205">
        <v>3</v>
      </c>
      <c r="F104" s="205">
        <v>3</v>
      </c>
      <c r="G104" s="205">
        <v>3</v>
      </c>
      <c r="H104" s="205">
        <v>4</v>
      </c>
      <c r="I104" s="173">
        <f t="shared" si="2"/>
        <v>3.25</v>
      </c>
      <c r="J104" s="23">
        <f>'F3'!D99</f>
        <v>0</v>
      </c>
      <c r="K104" s="206"/>
      <c r="M104" s="161">
        <f>'F1'!E105</f>
        <v>0.94</v>
      </c>
      <c r="N104" s="44">
        <f t="shared" si="3"/>
        <v>3.0549999999999997</v>
      </c>
      <c r="O104" s="44">
        <f>'F1'!F105</f>
        <v>1</v>
      </c>
    </row>
    <row r="105" spans="1:15">
      <c r="A105" s="159">
        <f>'F1'!A106</f>
        <v>95</v>
      </c>
      <c r="B105" s="104" t="str">
        <f>'F1'!B106</f>
        <v>7.2.2</v>
      </c>
      <c r="C105" s="204">
        <v>3</v>
      </c>
      <c r="D105" s="205">
        <v>3.5</v>
      </c>
      <c r="E105" s="205">
        <v>3</v>
      </c>
      <c r="F105" s="205">
        <v>3</v>
      </c>
      <c r="G105" s="205">
        <v>3</v>
      </c>
      <c r="H105" s="205">
        <v>4</v>
      </c>
      <c r="I105" s="173">
        <f t="shared" si="2"/>
        <v>3.25</v>
      </c>
      <c r="J105" s="23">
        <f>'F3'!D100</f>
        <v>0</v>
      </c>
      <c r="K105" s="206"/>
      <c r="M105" s="161">
        <f>'F1'!E106</f>
        <v>0.94</v>
      </c>
      <c r="N105" s="44">
        <f t="shared" si="3"/>
        <v>3.0549999999999997</v>
      </c>
      <c r="O105" s="44">
        <f>'F1'!F106</f>
        <v>3.3529411764705883</v>
      </c>
    </row>
    <row r="106" spans="1:15">
      <c r="A106" s="159">
        <f>'F1'!A107</f>
        <v>96</v>
      </c>
      <c r="B106" s="104" t="str">
        <f>'F1'!B107</f>
        <v>7.2.3</v>
      </c>
      <c r="C106" s="204">
        <v>3</v>
      </c>
      <c r="D106" s="205">
        <v>3.5</v>
      </c>
      <c r="E106" s="205">
        <v>3</v>
      </c>
      <c r="F106" s="205">
        <v>3</v>
      </c>
      <c r="G106" s="205">
        <v>3</v>
      </c>
      <c r="H106" s="205">
        <v>4</v>
      </c>
      <c r="I106" s="173">
        <f t="shared" si="2"/>
        <v>3.25</v>
      </c>
      <c r="J106" s="23">
        <f>'F3'!D101</f>
        <v>0</v>
      </c>
      <c r="K106" s="206"/>
      <c r="M106" s="161">
        <f>'F1'!E107</f>
        <v>0.94</v>
      </c>
      <c r="N106" s="44">
        <f t="shared" si="3"/>
        <v>3.0549999999999997</v>
      </c>
      <c r="O106" s="44">
        <f>'F1'!F107</f>
        <v>4</v>
      </c>
    </row>
    <row r="107" spans="1:15">
      <c r="A107" s="159">
        <f>'F1'!A108</f>
        <v>97</v>
      </c>
      <c r="B107" s="104" t="str">
        <f>'F1'!B108</f>
        <v>7.3.1</v>
      </c>
      <c r="C107" s="204">
        <v>3</v>
      </c>
      <c r="D107" s="205">
        <v>3.5</v>
      </c>
      <c r="E107" s="205">
        <v>3</v>
      </c>
      <c r="F107" s="205">
        <v>3</v>
      </c>
      <c r="G107" s="205">
        <v>3</v>
      </c>
      <c r="H107" s="205">
        <v>4</v>
      </c>
      <c r="I107" s="173">
        <f t="shared" si="2"/>
        <v>3.25</v>
      </c>
      <c r="J107" s="23">
        <f>'F3'!D102</f>
        <v>0</v>
      </c>
      <c r="K107" s="206"/>
      <c r="M107" s="161">
        <f>'F1'!E108</f>
        <v>0.94</v>
      </c>
      <c r="N107" s="44">
        <f t="shared" si="3"/>
        <v>3.0549999999999997</v>
      </c>
      <c r="O107" s="44">
        <f>'F1'!F108</f>
        <v>4</v>
      </c>
    </row>
    <row r="108" spans="1:15">
      <c r="A108" s="159">
        <f>'F1'!A109</f>
        <v>98</v>
      </c>
      <c r="B108" s="104" t="str">
        <f>'F1'!B109</f>
        <v>7.3.2</v>
      </c>
      <c r="C108" s="204">
        <v>3</v>
      </c>
      <c r="D108" s="205">
        <v>3.5</v>
      </c>
      <c r="E108" s="205">
        <v>3</v>
      </c>
      <c r="F108" s="205">
        <v>3</v>
      </c>
      <c r="G108" s="205">
        <v>3</v>
      </c>
      <c r="H108" s="205">
        <v>4</v>
      </c>
      <c r="I108" s="173">
        <f t="shared" si="2"/>
        <v>3.25</v>
      </c>
      <c r="J108" s="23">
        <f>'F3'!D103</f>
        <v>0</v>
      </c>
      <c r="K108" s="206"/>
      <c r="M108" s="161">
        <f>'F1'!E109</f>
        <v>0.94</v>
      </c>
      <c r="N108" s="44">
        <f t="shared" si="3"/>
        <v>3.0549999999999997</v>
      </c>
      <c r="O108" s="44">
        <f>'F1'!F109</f>
        <v>4</v>
      </c>
    </row>
    <row r="109" spans="1:15">
      <c r="A109" s="159">
        <f>'F1'!A110</f>
        <v>99</v>
      </c>
      <c r="B109" s="104" t="str">
        <f>'F1'!B110</f>
        <v>7.3.3</v>
      </c>
      <c r="C109" s="204">
        <v>3</v>
      </c>
      <c r="D109" s="205">
        <v>3.5</v>
      </c>
      <c r="E109" s="205">
        <v>3</v>
      </c>
      <c r="F109" s="205">
        <v>3</v>
      </c>
      <c r="G109" s="205">
        <v>3</v>
      </c>
      <c r="H109" s="205">
        <v>4</v>
      </c>
      <c r="I109" s="173">
        <f t="shared" si="2"/>
        <v>3.25</v>
      </c>
      <c r="J109" s="23">
        <f>'F3'!D104</f>
        <v>0</v>
      </c>
      <c r="K109" s="206"/>
      <c r="M109" s="161">
        <f>'F1'!E110</f>
        <v>0.94</v>
      </c>
      <c r="N109" s="44">
        <f t="shared" si="3"/>
        <v>3.0549999999999997</v>
      </c>
      <c r="O109" s="44">
        <f>'F1'!F110</f>
        <v>3</v>
      </c>
    </row>
    <row r="110" spans="1:15">
      <c r="A110" s="558">
        <f>'F1'!A111</f>
        <v>100</v>
      </c>
      <c r="B110" s="104" t="str">
        <f>'F1'!B111</f>
        <v>7.3.4</v>
      </c>
      <c r="C110" s="204">
        <v>3</v>
      </c>
      <c r="D110" s="205">
        <v>3</v>
      </c>
      <c r="E110" s="205">
        <v>3</v>
      </c>
      <c r="F110" s="205">
        <v>3</v>
      </c>
      <c r="G110" s="205">
        <v>3</v>
      </c>
      <c r="H110" s="205">
        <v>3</v>
      </c>
      <c r="I110" s="173">
        <f t="shared" si="2"/>
        <v>3</v>
      </c>
      <c r="J110" s="383">
        <f>'F3'!D105</f>
        <v>0</v>
      </c>
      <c r="K110" s="122"/>
      <c r="M110" s="161">
        <f>'F1'!E111</f>
        <v>0.94</v>
      </c>
      <c r="N110" s="44">
        <f t="shared" si="3"/>
        <v>2.82</v>
      </c>
      <c r="O110" s="44">
        <f>'F1'!F111</f>
        <v>2.5</v>
      </c>
    </row>
    <row r="111" spans="1:15">
      <c r="A111" s="176">
        <v>101</v>
      </c>
      <c r="B111" s="559" t="s">
        <v>575</v>
      </c>
      <c r="C111" s="733">
        <v>2</v>
      </c>
      <c r="D111" s="734">
        <v>2</v>
      </c>
      <c r="E111" s="734">
        <v>2</v>
      </c>
      <c r="F111" s="734">
        <v>2</v>
      </c>
      <c r="G111" s="205">
        <v>3</v>
      </c>
      <c r="H111" s="205">
        <v>2</v>
      </c>
      <c r="I111" s="173">
        <f t="shared" si="2"/>
        <v>2.1666666666666665</v>
      </c>
      <c r="J111" s="560" t="str">
        <f>'F3'!D106</f>
        <v>a</v>
      </c>
      <c r="K111" s="735"/>
      <c r="M111" s="161">
        <f>'F1'!E112</f>
        <v>0.94</v>
      </c>
      <c r="N111" s="44">
        <f t="shared" si="3"/>
        <v>2.0366666666666666</v>
      </c>
      <c r="O111" s="44">
        <f>'F1'!F112</f>
        <v>3</v>
      </c>
    </row>
    <row r="112" spans="1:15" ht="15.75">
      <c r="A112" s="14"/>
    </row>
    <row r="113" spans="1:12" ht="15.75" customHeight="1">
      <c r="A113" s="61"/>
      <c r="B113" s="61"/>
      <c r="C113" s="64"/>
      <c r="D113" s="66"/>
      <c r="E113" s="66"/>
      <c r="F113" s="66"/>
      <c r="G113" s="66"/>
      <c r="H113" s="66"/>
      <c r="I113" s="64"/>
      <c r="J113" s="98" t="str">
        <f>'F3'!D111</f>
        <v>Jakarta, ………………………</v>
      </c>
      <c r="K113" s="65"/>
      <c r="L113" s="12"/>
    </row>
    <row r="114" spans="1:12" ht="15.75">
      <c r="A114" s="98"/>
      <c r="B114" s="61"/>
      <c r="C114" s="64"/>
      <c r="D114" s="66"/>
      <c r="E114" s="66"/>
      <c r="F114" s="66"/>
      <c r="G114" s="66"/>
      <c r="H114" s="66"/>
      <c r="I114" s="64"/>
      <c r="J114" s="61"/>
      <c r="K114" s="61"/>
    </row>
    <row r="115" spans="1:12" ht="15.75">
      <c r="A115" s="98"/>
      <c r="B115" s="61"/>
      <c r="C115" s="64"/>
      <c r="D115" s="66"/>
      <c r="E115" s="66"/>
      <c r="F115" s="66"/>
      <c r="G115" s="66"/>
      <c r="H115" s="66"/>
      <c r="I115" s="64"/>
      <c r="J115" s="61"/>
      <c r="K115" s="61"/>
    </row>
    <row r="116" spans="1:12" ht="19.5" customHeight="1">
      <c r="A116" s="787" t="s">
        <v>901</v>
      </c>
      <c r="B116" s="1054"/>
      <c r="C116" s="1054"/>
      <c r="D116" s="1054"/>
      <c r="E116" s="1054"/>
      <c r="F116" s="1054"/>
      <c r="G116" s="1054"/>
      <c r="H116" s="1054"/>
      <c r="I116" s="1054"/>
      <c r="J116" s="787" t="s">
        <v>902</v>
      </c>
      <c r="K116" s="1054"/>
    </row>
    <row r="117" spans="1:12">
      <c r="A117" s="631"/>
      <c r="B117" s="631"/>
      <c r="C117" s="631"/>
      <c r="D117" s="66"/>
      <c r="E117" s="66"/>
      <c r="F117" s="66"/>
      <c r="G117" s="66"/>
      <c r="H117" s="66"/>
      <c r="I117" s="64"/>
      <c r="J117" s="656"/>
      <c r="K117" s="61"/>
    </row>
    <row r="118" spans="1:12">
      <c r="A118" s="631"/>
      <c r="B118" s="631"/>
      <c r="C118" s="631"/>
      <c r="D118" s="66"/>
      <c r="E118" s="66"/>
      <c r="F118" s="66"/>
      <c r="G118" s="66"/>
      <c r="H118" s="66"/>
      <c r="I118" s="64"/>
      <c r="J118" s="656"/>
      <c r="K118" s="61"/>
    </row>
    <row r="119" spans="1:12">
      <c r="A119" s="657" t="s">
        <v>895</v>
      </c>
      <c r="B119" s="1048" t="s">
        <v>905</v>
      </c>
      <c r="C119" s="1027"/>
      <c r="D119" s="1027"/>
      <c r="E119" s="1027"/>
      <c r="F119" s="1027"/>
      <c r="G119" s="1027"/>
      <c r="H119" s="1027"/>
      <c r="I119" s="1027"/>
      <c r="J119" s="658" t="s">
        <v>906</v>
      </c>
      <c r="K119" s="61"/>
    </row>
    <row r="120" spans="1:12">
      <c r="A120" s="640"/>
      <c r="B120" s="631"/>
      <c r="C120" s="631"/>
      <c r="D120" s="66"/>
      <c r="E120" s="66"/>
      <c r="F120" s="66"/>
      <c r="G120" s="66"/>
      <c r="H120" s="66"/>
      <c r="I120" s="64"/>
      <c r="J120" s="656"/>
      <c r="K120" s="61"/>
    </row>
    <row r="121" spans="1:12">
      <c r="A121" s="640"/>
      <c r="B121" s="631"/>
      <c r="C121" s="631"/>
      <c r="D121" s="66"/>
      <c r="E121" s="66"/>
      <c r="F121" s="66"/>
      <c r="G121" s="66"/>
      <c r="H121" s="66"/>
      <c r="I121" s="64"/>
      <c r="J121" s="656"/>
      <c r="K121" s="61"/>
    </row>
    <row r="122" spans="1:12" ht="18" customHeight="1">
      <c r="A122" s="659" t="s">
        <v>896</v>
      </c>
      <c r="B122" s="1056" t="s">
        <v>903</v>
      </c>
      <c r="C122" s="1054"/>
      <c r="D122" s="1054"/>
      <c r="E122" s="1054"/>
      <c r="F122" s="1054"/>
      <c r="G122" s="1054"/>
      <c r="H122" s="1054"/>
      <c r="I122" s="1054"/>
      <c r="J122" s="658" t="s">
        <v>906</v>
      </c>
      <c r="K122" s="656"/>
    </row>
    <row r="123" spans="1:12" ht="18" customHeight="1">
      <c r="A123" s="659"/>
      <c r="B123" s="656"/>
      <c r="C123" s="656"/>
      <c r="D123" s="656"/>
      <c r="E123" s="656"/>
      <c r="F123" s="656"/>
      <c r="G123" s="656"/>
      <c r="H123" s="656"/>
      <c r="I123" s="656"/>
      <c r="J123" s="637"/>
      <c r="K123" s="639"/>
    </row>
    <row r="124" spans="1:12" ht="18" customHeight="1">
      <c r="A124" s="659"/>
      <c r="B124" s="656"/>
      <c r="C124" s="656"/>
      <c r="D124" s="656"/>
      <c r="E124" s="656"/>
      <c r="F124" s="656"/>
      <c r="G124" s="656"/>
      <c r="H124" s="656"/>
      <c r="I124" s="656"/>
      <c r="J124" s="637"/>
      <c r="K124" s="639"/>
    </row>
    <row r="125" spans="1:12">
      <c r="A125" s="657" t="s">
        <v>897</v>
      </c>
      <c r="B125" s="1048" t="s">
        <v>904</v>
      </c>
      <c r="C125" s="1048"/>
      <c r="D125" s="1048"/>
      <c r="E125" s="1048"/>
      <c r="F125" s="1048"/>
      <c r="G125" s="1048"/>
      <c r="H125" s="1048"/>
      <c r="I125" s="1048"/>
      <c r="J125" s="65" t="s">
        <v>906</v>
      </c>
      <c r="K125" s="61"/>
    </row>
    <row r="126" spans="1:12">
      <c r="A126" s="640"/>
      <c r="B126" s="631"/>
      <c r="C126" s="631"/>
      <c r="D126" s="66"/>
      <c r="E126" s="66"/>
      <c r="F126" s="66"/>
      <c r="G126" s="66"/>
      <c r="H126" s="66"/>
      <c r="I126" s="656"/>
      <c r="J126" s="65"/>
      <c r="K126" s="61"/>
    </row>
    <row r="127" spans="1:12">
      <c r="A127" s="640"/>
      <c r="B127" s="631"/>
      <c r="C127" s="631"/>
      <c r="D127" s="66"/>
      <c r="E127" s="66"/>
      <c r="F127" s="66"/>
      <c r="G127" s="66"/>
      <c r="H127" s="66"/>
      <c r="I127" s="656"/>
      <c r="J127" s="65"/>
      <c r="K127" s="61"/>
    </row>
    <row r="128" spans="1:12" ht="15.75">
      <c r="A128" s="652" t="s">
        <v>898</v>
      </c>
      <c r="B128" s="1035" t="s">
        <v>903</v>
      </c>
      <c r="C128" s="1035"/>
      <c r="D128" s="1035"/>
      <c r="E128" s="1035"/>
      <c r="F128" s="1035"/>
      <c r="G128" s="1035"/>
      <c r="H128" s="1035"/>
      <c r="I128" s="1035"/>
      <c r="J128" s="61" t="s">
        <v>906</v>
      </c>
      <c r="K128" s="61"/>
    </row>
    <row r="129" spans="1:11" ht="15.75">
      <c r="A129" s="660"/>
      <c r="B129" s="61"/>
      <c r="C129" s="64"/>
      <c r="D129" s="66"/>
      <c r="E129" s="66"/>
      <c r="F129" s="66"/>
      <c r="G129" s="66"/>
      <c r="H129" s="66"/>
      <c r="I129" s="64"/>
      <c r="J129" s="61"/>
      <c r="K129" s="61"/>
    </row>
    <row r="130" spans="1:11" ht="15.75">
      <c r="A130" s="660"/>
      <c r="B130" s="61"/>
      <c r="C130" s="64"/>
      <c r="D130" s="66"/>
      <c r="E130" s="66"/>
      <c r="F130" s="66"/>
      <c r="G130" s="66"/>
      <c r="H130" s="66"/>
      <c r="I130" s="64"/>
      <c r="J130" s="61"/>
      <c r="K130" s="61"/>
    </row>
    <row r="131" spans="1:11" ht="15.75">
      <c r="A131" s="652" t="s">
        <v>899</v>
      </c>
      <c r="B131" s="1035" t="s">
        <v>903</v>
      </c>
      <c r="C131" s="1035"/>
      <c r="D131" s="1035"/>
      <c r="E131" s="1035"/>
      <c r="F131" s="1035"/>
      <c r="G131" s="1035"/>
      <c r="H131" s="1035"/>
      <c r="I131" s="1035"/>
      <c r="J131" s="61" t="s">
        <v>906</v>
      </c>
      <c r="K131" s="61"/>
    </row>
    <row r="132" spans="1:11">
      <c r="A132" s="61"/>
      <c r="B132" s="61"/>
      <c r="C132" s="64"/>
      <c r="D132" s="66"/>
      <c r="E132" s="66"/>
      <c r="F132" s="66"/>
      <c r="G132" s="66"/>
      <c r="H132" s="66"/>
      <c r="I132" s="64"/>
      <c r="J132" s="61"/>
      <c r="K132" s="61"/>
    </row>
    <row r="133" spans="1:11">
      <c r="A133" s="61"/>
      <c r="B133" s="61"/>
      <c r="C133" s="64"/>
      <c r="D133" s="66"/>
      <c r="E133" s="66"/>
      <c r="F133" s="66"/>
      <c r="G133" s="66"/>
      <c r="H133" s="66"/>
      <c r="I133" s="64"/>
      <c r="J133" s="61"/>
      <c r="K133" s="61"/>
    </row>
    <row r="134" spans="1:11">
      <c r="A134" s="61"/>
      <c r="B134" s="61"/>
      <c r="C134" s="64"/>
      <c r="D134" s="66"/>
      <c r="E134" s="66"/>
      <c r="F134" s="66"/>
      <c r="G134" s="66"/>
      <c r="H134" s="66"/>
      <c r="I134" s="64"/>
      <c r="J134" s="61"/>
      <c r="K134" s="61"/>
    </row>
    <row r="135" spans="1:11">
      <c r="A135" s="61"/>
      <c r="B135" s="61"/>
      <c r="C135" s="64"/>
      <c r="D135" s="66"/>
      <c r="E135" s="66"/>
      <c r="F135" s="66"/>
      <c r="G135" s="66"/>
      <c r="H135" s="66"/>
      <c r="I135" s="64"/>
      <c r="J135" s="61"/>
      <c r="K135" s="61"/>
    </row>
    <row r="136" spans="1:11">
      <c r="A136" s="61"/>
      <c r="B136" s="61"/>
      <c r="C136" s="64"/>
      <c r="D136" s="66"/>
      <c r="E136" s="66"/>
      <c r="F136" s="66"/>
      <c r="G136" s="66"/>
      <c r="H136" s="66"/>
      <c r="I136" s="64"/>
      <c r="J136" s="61"/>
      <c r="K136" s="61"/>
    </row>
    <row r="137" spans="1:11">
      <c r="A137" s="61"/>
      <c r="B137" s="61"/>
      <c r="C137" s="64"/>
      <c r="D137" s="66"/>
      <c r="E137" s="66"/>
      <c r="F137" s="66"/>
      <c r="G137" s="66"/>
      <c r="H137" s="66"/>
      <c r="I137" s="64"/>
      <c r="J137" s="61"/>
      <c r="K137" s="61"/>
    </row>
    <row r="138" spans="1:11">
      <c r="A138" s="61"/>
      <c r="B138" s="61"/>
      <c r="C138" s="64"/>
      <c r="D138" s="66"/>
      <c r="E138" s="66"/>
      <c r="F138" s="66"/>
      <c r="G138" s="66"/>
      <c r="H138" s="66"/>
      <c r="I138" s="64"/>
      <c r="J138" s="61"/>
      <c r="K138" s="61"/>
    </row>
    <row r="139" spans="1:11">
      <c r="A139" s="61"/>
      <c r="B139" s="61"/>
      <c r="C139" s="64"/>
      <c r="D139" s="66"/>
      <c r="E139" s="66"/>
      <c r="F139" s="66"/>
      <c r="G139" s="66"/>
      <c r="H139" s="66"/>
      <c r="I139" s="64"/>
      <c r="J139" s="61"/>
      <c r="K139" s="61"/>
    </row>
    <row r="140" spans="1:11">
      <c r="A140" s="61"/>
      <c r="B140" s="61"/>
      <c r="C140" s="64"/>
      <c r="D140" s="66"/>
      <c r="E140" s="66"/>
      <c r="F140" s="66"/>
      <c r="G140" s="66"/>
      <c r="H140" s="66"/>
      <c r="I140" s="64"/>
      <c r="J140" s="61"/>
      <c r="K140" s="61"/>
    </row>
    <row r="141" spans="1:11">
      <c r="A141" s="61"/>
      <c r="B141" s="61"/>
      <c r="C141" s="64"/>
      <c r="D141" s="66"/>
      <c r="E141" s="66"/>
      <c r="F141" s="66"/>
      <c r="G141" s="66"/>
      <c r="H141" s="66"/>
      <c r="I141" s="64"/>
      <c r="J141" s="61"/>
      <c r="K141" s="61"/>
    </row>
    <row r="142" spans="1:11">
      <c r="A142" s="61"/>
      <c r="B142" s="61"/>
      <c r="C142" s="64"/>
      <c r="D142" s="66"/>
      <c r="E142" s="66"/>
      <c r="F142" s="66"/>
      <c r="G142" s="66"/>
      <c r="H142" s="66"/>
      <c r="I142" s="64"/>
      <c r="J142" s="61"/>
      <c r="K142" s="61"/>
    </row>
    <row r="143" spans="1:11">
      <c r="A143" s="61"/>
      <c r="B143" s="61"/>
      <c r="C143" s="64"/>
      <c r="D143" s="66"/>
      <c r="E143" s="66"/>
      <c r="F143" s="66"/>
      <c r="G143" s="66"/>
      <c r="H143" s="66"/>
      <c r="I143" s="64"/>
      <c r="J143" s="61"/>
      <c r="K143" s="61"/>
    </row>
  </sheetData>
  <sheetProtection sheet="1" objects="1" scenarios="1" formatColumns="0" formatRows="0" selectLockedCells="1"/>
  <mergeCells count="18">
    <mergeCell ref="B125:I125"/>
    <mergeCell ref="B128:I128"/>
    <mergeCell ref="B131:I131"/>
    <mergeCell ref="A1:K1"/>
    <mergeCell ref="A8:A10"/>
    <mergeCell ref="B8:B10"/>
    <mergeCell ref="J8:J10"/>
    <mergeCell ref="B119:I119"/>
    <mergeCell ref="A116:I116"/>
    <mergeCell ref="F4:I4"/>
    <mergeCell ref="F3:K3"/>
    <mergeCell ref="J116:K116"/>
    <mergeCell ref="B122:I122"/>
    <mergeCell ref="M8:N10"/>
    <mergeCell ref="C8:I8"/>
    <mergeCell ref="A6:K6"/>
    <mergeCell ref="O8:O10"/>
    <mergeCell ref="K8:K10"/>
  </mergeCells>
  <phoneticPr fontId="35" type="noConversion"/>
  <pageMargins left="0.7" right="0.7" top="0.75" bottom="0.75" header="0.3" footer="0.3"/>
  <pageSetup orientation="portrait" r:id="rId1"/>
  <headerFooter>
    <oddFooter>&amp;LFormat 6 - &amp;D@&amp;T&amp;CAIPT&amp;R&amp;P/&amp;N</oddFooter>
  </headerFooter>
  <drawing r:id="rId2"/>
</worksheet>
</file>

<file path=xl/worksheets/sheet8.xml><?xml version="1.0" encoding="utf-8"?>
<worksheet xmlns="http://schemas.openxmlformats.org/spreadsheetml/2006/main" xmlns:r="http://schemas.openxmlformats.org/officeDocument/2006/relationships">
  <sheetPr codeName="Sheet9"/>
  <dimension ref="A1:R57"/>
  <sheetViews>
    <sheetView topLeftCell="A5" workbookViewId="0">
      <selection activeCell="G10" sqref="G10"/>
    </sheetView>
  </sheetViews>
  <sheetFormatPr defaultRowHeight="15"/>
  <cols>
    <col min="1" max="1" width="4.28515625" customWidth="1"/>
    <col min="2" max="2" width="19.7109375" customWidth="1"/>
    <col min="3" max="3" width="4.85546875" style="7" customWidth="1"/>
    <col min="4" max="5" width="4.7109375" style="7" customWidth="1"/>
    <col min="6" max="6" width="4.85546875" style="7" customWidth="1"/>
    <col min="7" max="7" width="4.7109375" style="7" customWidth="1"/>
    <col min="8" max="8" width="5.42578125" style="30" customWidth="1"/>
    <col min="9" max="9" width="24" customWidth="1"/>
    <col min="10" max="10" width="13" customWidth="1"/>
    <col min="11" max="11" width="3.140625" customWidth="1"/>
    <col min="12" max="12" width="9.7109375" customWidth="1"/>
    <col min="13" max="13" width="11.5703125" customWidth="1"/>
    <col min="14" max="14" width="7" customWidth="1"/>
    <col min="15" max="15" width="30" customWidth="1"/>
    <col min="16" max="16" width="2.7109375" customWidth="1"/>
  </cols>
  <sheetData>
    <row r="1" spans="1:18" ht="15.75">
      <c r="A1" s="1049" t="s">
        <v>907</v>
      </c>
      <c r="B1" s="1049"/>
      <c r="C1" s="1049"/>
      <c r="D1" s="1049"/>
      <c r="E1" s="1049"/>
      <c r="F1" s="1049"/>
      <c r="G1" s="1049"/>
      <c r="H1" s="1049"/>
      <c r="I1" s="1049"/>
      <c r="J1" s="1049"/>
    </row>
    <row r="2" spans="1:18" ht="15.75">
      <c r="A2" s="1"/>
    </row>
    <row r="3" spans="1:18" ht="15.75">
      <c r="A3" s="1067" t="s">
        <v>879</v>
      </c>
      <c r="B3" s="1068"/>
      <c r="C3" s="1068"/>
      <c r="D3" s="1063" t="s">
        <v>136</v>
      </c>
      <c r="E3" s="1063"/>
      <c r="F3" s="1063"/>
      <c r="G3" s="1063"/>
      <c r="H3" s="1063"/>
      <c r="I3" s="1063"/>
      <c r="J3" s="1063"/>
      <c r="K3" s="563"/>
      <c r="L3" s="563"/>
      <c r="M3" s="563"/>
      <c r="N3" s="563"/>
    </row>
    <row r="4" spans="1:18" ht="15.75">
      <c r="A4" s="1067" t="s">
        <v>908</v>
      </c>
      <c r="B4" s="1068"/>
      <c r="C4" s="1068"/>
      <c r="D4" s="1062" t="str">
        <f>'F1'!D7</f>
        <v>P019</v>
      </c>
      <c r="E4" s="1062"/>
      <c r="F4" s="1062"/>
      <c r="G4" s="1062"/>
      <c r="H4" s="1062"/>
      <c r="I4" s="207"/>
      <c r="J4" s="207"/>
    </row>
    <row r="5" spans="1:18" ht="15.75">
      <c r="A5" s="100"/>
      <c r="B5" s="100"/>
      <c r="C5" s="100"/>
      <c r="D5" s="115"/>
      <c r="E5" s="562"/>
      <c r="F5" s="562"/>
      <c r="G5" s="562"/>
    </row>
    <row r="6" spans="1:18" ht="33.75" customHeight="1" thickBot="1">
      <c r="A6" s="1069" t="s">
        <v>16</v>
      </c>
      <c r="B6" s="1069"/>
      <c r="C6" s="1069"/>
      <c r="D6" s="1069"/>
      <c r="E6" s="1069"/>
      <c r="F6" s="1069"/>
      <c r="G6" s="1069"/>
      <c r="H6" s="1069"/>
      <c r="I6" s="1069"/>
      <c r="J6" s="1069"/>
      <c r="K6" s="12"/>
      <c r="L6" s="12"/>
      <c r="M6" s="12"/>
      <c r="N6" s="12"/>
      <c r="O6" s="12"/>
      <c r="P6" s="12"/>
      <c r="Q6" s="12"/>
      <c r="R6" s="12"/>
    </row>
    <row r="7" spans="1:18" ht="22.5" customHeight="1">
      <c r="A7" s="1051" t="s">
        <v>41</v>
      </c>
      <c r="B7" s="1042" t="s">
        <v>42</v>
      </c>
      <c r="C7" s="1042" t="s">
        <v>133</v>
      </c>
      <c r="D7" s="1042"/>
      <c r="E7" s="1042"/>
      <c r="F7" s="1042"/>
      <c r="G7" s="1042"/>
      <c r="H7" s="1042"/>
      <c r="I7" s="1042" t="s">
        <v>86</v>
      </c>
      <c r="J7" s="1046" t="s">
        <v>85</v>
      </c>
      <c r="K7" s="432"/>
      <c r="L7" s="1073" t="s">
        <v>114</v>
      </c>
      <c r="M7" s="1074"/>
      <c r="N7" s="1071" t="s">
        <v>143</v>
      </c>
      <c r="O7" s="1064"/>
    </row>
    <row r="8" spans="1:18" ht="57.75" customHeight="1" thickBot="1">
      <c r="A8" s="1065"/>
      <c r="B8" s="1066"/>
      <c r="C8" s="574" t="s">
        <v>910</v>
      </c>
      <c r="D8" s="574" t="s">
        <v>911</v>
      </c>
      <c r="E8" s="574" t="s">
        <v>912</v>
      </c>
      <c r="F8" s="574" t="s">
        <v>913</v>
      </c>
      <c r="G8" s="574" t="s">
        <v>914</v>
      </c>
      <c r="H8" s="574" t="s">
        <v>69</v>
      </c>
      <c r="I8" s="1066"/>
      <c r="J8" s="1070"/>
      <c r="K8" s="432"/>
      <c r="L8" s="1075"/>
      <c r="M8" s="1076"/>
      <c r="N8" s="1072"/>
      <c r="O8" s="1064"/>
    </row>
    <row r="9" spans="1:18" ht="86.25" customHeight="1">
      <c r="A9" s="575">
        <v>1</v>
      </c>
      <c r="B9" s="584" t="s">
        <v>70</v>
      </c>
      <c r="C9" s="576"/>
      <c r="D9" s="576"/>
      <c r="E9" s="576"/>
      <c r="F9" s="576"/>
      <c r="G9" s="576"/>
      <c r="H9" s="577"/>
      <c r="I9" s="578"/>
      <c r="J9" s="579"/>
      <c r="K9" s="580"/>
      <c r="L9" s="593"/>
      <c r="M9" s="593"/>
      <c r="N9" s="577"/>
      <c r="O9" s="564"/>
    </row>
    <row r="10" spans="1:18" ht="127.5">
      <c r="A10" s="567" t="s">
        <v>102</v>
      </c>
      <c r="B10" s="561" t="s">
        <v>915</v>
      </c>
      <c r="C10" s="205">
        <v>4</v>
      </c>
      <c r="D10" s="205">
        <v>4</v>
      </c>
      <c r="E10" s="205"/>
      <c r="F10" s="205"/>
      <c r="G10" s="205"/>
      <c r="H10" s="174">
        <f>SUM(C10:G10)/COUNT(C10:G10)</f>
        <v>4</v>
      </c>
      <c r="I10" s="203"/>
      <c r="J10" s="201"/>
      <c r="K10" s="581"/>
      <c r="L10" s="598">
        <f>'F2'!D10</f>
        <v>12.5</v>
      </c>
      <c r="M10" s="598">
        <f>H10*L10</f>
        <v>50</v>
      </c>
      <c r="N10" s="598">
        <f>hitung_F2!E10</f>
        <v>3.25</v>
      </c>
      <c r="O10" s="565"/>
    </row>
    <row r="11" spans="1:18" ht="129.75" customHeight="1">
      <c r="A11" s="567" t="s">
        <v>101</v>
      </c>
      <c r="B11" s="561" t="s">
        <v>71</v>
      </c>
      <c r="C11" s="205">
        <v>2.5</v>
      </c>
      <c r="D11" s="205">
        <v>3.5</v>
      </c>
      <c r="E11" s="205">
        <v>3</v>
      </c>
      <c r="F11" s="205">
        <v>0</v>
      </c>
      <c r="G11" s="205">
        <v>0</v>
      </c>
      <c r="H11" s="174">
        <f>SUM(C11:G11)/COUNT(C11:G11)</f>
        <v>1.8</v>
      </c>
      <c r="I11" s="203"/>
      <c r="J11" s="201"/>
      <c r="K11" s="581"/>
      <c r="L11" s="598">
        <f>'F2'!D11</f>
        <v>12.5</v>
      </c>
      <c r="M11" s="598">
        <f t="shared" ref="M11:M23" si="0">H11*L11</f>
        <v>22.5</v>
      </c>
      <c r="N11" s="598">
        <f>hitung_F2!E17</f>
        <v>4</v>
      </c>
      <c r="O11" s="565"/>
    </row>
    <row r="12" spans="1:18" ht="109.5" customHeight="1">
      <c r="A12" s="114">
        <v>2</v>
      </c>
      <c r="B12" s="585" t="s">
        <v>72</v>
      </c>
      <c r="C12" s="587"/>
      <c r="D12" s="588"/>
      <c r="E12" s="587"/>
      <c r="F12" s="587"/>
      <c r="G12" s="587"/>
      <c r="H12" s="554"/>
      <c r="I12" s="589"/>
      <c r="J12" s="590"/>
      <c r="K12" s="581"/>
      <c r="L12" s="599"/>
      <c r="M12" s="599"/>
      <c r="N12" s="600"/>
      <c r="O12" s="566"/>
    </row>
    <row r="13" spans="1:18" ht="80.25" customHeight="1">
      <c r="A13" s="568" t="s">
        <v>103</v>
      </c>
      <c r="B13" s="294" t="s">
        <v>73</v>
      </c>
      <c r="C13" s="205">
        <v>2.5</v>
      </c>
      <c r="D13" s="205">
        <v>3.5</v>
      </c>
      <c r="E13" s="205">
        <v>3</v>
      </c>
      <c r="F13" s="205">
        <v>0</v>
      </c>
      <c r="G13" s="205">
        <v>0</v>
      </c>
      <c r="H13" s="174">
        <f>SUM(C13:G13)/COUNT(C13:G13)</f>
        <v>1.8</v>
      </c>
      <c r="I13" s="203"/>
      <c r="J13" s="201"/>
      <c r="K13" s="581"/>
      <c r="L13" s="598">
        <f>'F2'!D13</f>
        <v>7.5</v>
      </c>
      <c r="M13" s="601">
        <f t="shared" si="0"/>
        <v>13.5</v>
      </c>
      <c r="N13" s="598">
        <f>hitung_F2!E25</f>
        <v>3</v>
      </c>
      <c r="O13" s="565"/>
    </row>
    <row r="14" spans="1:18" ht="99" customHeight="1">
      <c r="A14" s="567" t="s">
        <v>104</v>
      </c>
      <c r="B14" s="561" t="s">
        <v>916</v>
      </c>
      <c r="C14" s="205">
        <v>2.5</v>
      </c>
      <c r="D14" s="205">
        <v>2.5</v>
      </c>
      <c r="E14" s="205">
        <v>3</v>
      </c>
      <c r="F14" s="205">
        <v>0</v>
      </c>
      <c r="G14" s="205">
        <v>0</v>
      </c>
      <c r="H14" s="174">
        <f>SUM(C14:G14)/COUNT(C14:G14)</f>
        <v>1.6</v>
      </c>
      <c r="I14" s="203"/>
      <c r="J14" s="201"/>
      <c r="K14" s="581"/>
      <c r="L14" s="598">
        <f>'F2'!D14</f>
        <v>7.5</v>
      </c>
      <c r="M14" s="598">
        <f t="shared" si="0"/>
        <v>12</v>
      </c>
      <c r="N14" s="598">
        <f>hitung_F2!E32</f>
        <v>3</v>
      </c>
      <c r="O14" s="565"/>
    </row>
    <row r="15" spans="1:18" ht="66.75" customHeight="1">
      <c r="A15" s="567" t="s">
        <v>105</v>
      </c>
      <c r="B15" s="294" t="s">
        <v>74</v>
      </c>
      <c r="C15" s="205">
        <v>2.5</v>
      </c>
      <c r="D15" s="205">
        <v>3</v>
      </c>
      <c r="E15" s="205">
        <v>3</v>
      </c>
      <c r="F15" s="205">
        <v>0</v>
      </c>
      <c r="G15" s="205">
        <v>0</v>
      </c>
      <c r="H15" s="174">
        <f>SUM(C15:G15)/COUNT(C15:G15)</f>
        <v>1.7</v>
      </c>
      <c r="I15" s="203"/>
      <c r="J15" s="201"/>
      <c r="K15" s="581"/>
      <c r="L15" s="598">
        <f>'F2'!D15</f>
        <v>7.5</v>
      </c>
      <c r="M15" s="598">
        <f t="shared" si="0"/>
        <v>12.75</v>
      </c>
      <c r="N15" s="598">
        <f>hitung_F2!E39</f>
        <v>3</v>
      </c>
      <c r="O15" s="565"/>
    </row>
    <row r="16" spans="1:18" ht="115.5" customHeight="1">
      <c r="A16" s="567" t="s">
        <v>106</v>
      </c>
      <c r="B16" s="561" t="s">
        <v>75</v>
      </c>
      <c r="C16" s="205">
        <v>2.5</v>
      </c>
      <c r="D16" s="205">
        <v>3</v>
      </c>
      <c r="E16" s="205">
        <v>3</v>
      </c>
      <c r="F16" s="205">
        <v>0</v>
      </c>
      <c r="G16" s="205">
        <v>0</v>
      </c>
      <c r="H16" s="174">
        <f>SUM(C16:G16)/COUNT(C16:G16)</f>
        <v>1.7</v>
      </c>
      <c r="I16" s="203"/>
      <c r="J16" s="201"/>
      <c r="K16" s="581"/>
      <c r="L16" s="598">
        <f>'F2'!D16</f>
        <v>7.5</v>
      </c>
      <c r="M16" s="598">
        <f t="shared" si="0"/>
        <v>12.75</v>
      </c>
      <c r="N16" s="598">
        <f>hitung_F2!E46</f>
        <v>3</v>
      </c>
      <c r="O16" s="565"/>
    </row>
    <row r="17" spans="1:15" ht="53.25" customHeight="1">
      <c r="A17" s="114">
        <v>3</v>
      </c>
      <c r="B17" s="536" t="s">
        <v>76</v>
      </c>
      <c r="C17" s="587"/>
      <c r="D17" s="588"/>
      <c r="E17" s="587"/>
      <c r="F17" s="587"/>
      <c r="G17" s="587"/>
      <c r="H17" s="554"/>
      <c r="I17" s="589"/>
      <c r="J17" s="590"/>
      <c r="K17" s="581"/>
      <c r="L17" s="599"/>
      <c r="M17" s="599"/>
      <c r="N17" s="600"/>
      <c r="O17" s="566"/>
    </row>
    <row r="18" spans="1:15" ht="86.25" customHeight="1">
      <c r="A18" s="568" t="s">
        <v>107</v>
      </c>
      <c r="B18" s="294" t="s">
        <v>909</v>
      </c>
      <c r="C18" s="231">
        <v>3.25</v>
      </c>
      <c r="D18" s="205">
        <v>2.5</v>
      </c>
      <c r="E18" s="205">
        <v>3</v>
      </c>
      <c r="F18" s="205">
        <v>0</v>
      </c>
      <c r="G18" s="205">
        <v>0</v>
      </c>
      <c r="H18" s="174">
        <f>SUM(C18:G18)/COUNT(C18:G18)</f>
        <v>1.75</v>
      </c>
      <c r="I18" s="203"/>
      <c r="J18" s="201"/>
      <c r="K18" s="581"/>
      <c r="L18" s="598">
        <f>'F2'!D18</f>
        <v>10</v>
      </c>
      <c r="M18" s="598">
        <f t="shared" si="0"/>
        <v>17.5</v>
      </c>
      <c r="N18" s="598">
        <f>hitung_F2!E54</f>
        <v>3</v>
      </c>
      <c r="O18" s="565"/>
    </row>
    <row r="19" spans="1:15" ht="74.25" customHeight="1">
      <c r="A19" s="568" t="s">
        <v>108</v>
      </c>
      <c r="B19" s="294" t="s">
        <v>875</v>
      </c>
      <c r="C19" s="231">
        <v>3.25</v>
      </c>
      <c r="D19" s="205">
        <v>2.5</v>
      </c>
      <c r="E19" s="205">
        <v>2</v>
      </c>
      <c r="F19" s="205">
        <v>0</v>
      </c>
      <c r="G19" s="205">
        <v>0</v>
      </c>
      <c r="H19" s="174">
        <f>SUM(C19:G19)/COUNT(C19:G19)</f>
        <v>1.55</v>
      </c>
      <c r="I19" s="203"/>
      <c r="J19" s="201"/>
      <c r="K19" s="581"/>
      <c r="L19" s="598">
        <f>'F2'!D19</f>
        <v>5</v>
      </c>
      <c r="M19" s="598">
        <f t="shared" si="0"/>
        <v>7.75</v>
      </c>
      <c r="N19" s="598">
        <f>hitung_F2!E61</f>
        <v>3</v>
      </c>
      <c r="O19" s="565"/>
    </row>
    <row r="20" spans="1:15" ht="75" customHeight="1">
      <c r="A20" s="568" t="s">
        <v>109</v>
      </c>
      <c r="B20" s="294" t="s">
        <v>77</v>
      </c>
      <c r="C20" s="231">
        <v>3.25</v>
      </c>
      <c r="D20" s="205">
        <v>2.5</v>
      </c>
      <c r="E20" s="205">
        <v>2</v>
      </c>
      <c r="F20" s="205">
        <v>0</v>
      </c>
      <c r="G20" s="205">
        <v>0</v>
      </c>
      <c r="H20" s="174">
        <f>SUM(C20:G20)/COUNT(C20:G20)</f>
        <v>1.55</v>
      </c>
      <c r="I20" s="203"/>
      <c r="J20" s="201"/>
      <c r="K20" s="581"/>
      <c r="L20" s="598">
        <f>'F2'!D20</f>
        <v>5</v>
      </c>
      <c r="M20" s="598">
        <f t="shared" si="0"/>
        <v>7.75</v>
      </c>
      <c r="N20" s="598">
        <f>hitung_F2!E68</f>
        <v>2</v>
      </c>
      <c r="O20" s="565"/>
    </row>
    <row r="21" spans="1:15" ht="67.5" customHeight="1">
      <c r="A21" s="114">
        <v>4</v>
      </c>
      <c r="B21" s="536" t="s">
        <v>78</v>
      </c>
      <c r="C21" s="587"/>
      <c r="D21" s="588"/>
      <c r="E21" s="587"/>
      <c r="F21" s="587"/>
      <c r="G21" s="587"/>
      <c r="H21" s="554"/>
      <c r="I21" s="589"/>
      <c r="J21" s="590"/>
      <c r="K21" s="582"/>
      <c r="L21" s="599"/>
      <c r="M21" s="599"/>
      <c r="N21" s="600"/>
      <c r="O21" s="566"/>
    </row>
    <row r="22" spans="1:15" ht="48" customHeight="1">
      <c r="A22" s="568" t="s">
        <v>110</v>
      </c>
      <c r="B22" s="294" t="s">
        <v>79</v>
      </c>
      <c r="C22" s="205">
        <v>3</v>
      </c>
      <c r="D22" s="205">
        <v>4</v>
      </c>
      <c r="E22" s="205">
        <v>3</v>
      </c>
      <c r="F22" s="205">
        <v>0</v>
      </c>
      <c r="G22" s="205">
        <v>0</v>
      </c>
      <c r="H22" s="174">
        <f>SUM(C22:G22)/COUNT(C22:G22)</f>
        <v>2</v>
      </c>
      <c r="I22" s="203"/>
      <c r="J22" s="201"/>
      <c r="K22" s="581"/>
      <c r="L22" s="598">
        <f>'F2'!D22</f>
        <v>12.5</v>
      </c>
      <c r="M22" s="598">
        <f t="shared" si="0"/>
        <v>25</v>
      </c>
      <c r="N22" s="598">
        <f>hitung_F2!E76</f>
        <v>3</v>
      </c>
      <c r="O22" s="565"/>
    </row>
    <row r="23" spans="1:15" ht="84" customHeight="1" thickBot="1">
      <c r="A23" s="569" t="s">
        <v>111</v>
      </c>
      <c r="B23" s="586" t="s">
        <v>80</v>
      </c>
      <c r="C23" s="232">
        <v>2</v>
      </c>
      <c r="D23" s="232">
        <v>2</v>
      </c>
      <c r="E23" s="232">
        <v>2</v>
      </c>
      <c r="F23" s="232">
        <v>0</v>
      </c>
      <c r="G23" s="232">
        <v>0</v>
      </c>
      <c r="H23" s="174">
        <f>SUM(C23:G23)/COUNT(C23:G23)</f>
        <v>1.2</v>
      </c>
      <c r="I23" s="583"/>
      <c r="J23" s="202"/>
      <c r="K23" s="581"/>
      <c r="L23" s="598">
        <f>'F2'!D23</f>
        <v>12.5</v>
      </c>
      <c r="M23" s="598">
        <f t="shared" si="0"/>
        <v>15</v>
      </c>
      <c r="N23" s="598">
        <f>hitung_F2!E83</f>
        <v>3</v>
      </c>
      <c r="O23" s="565"/>
    </row>
    <row r="24" spans="1:15" ht="15.75" customHeight="1">
      <c r="A24" s="14"/>
      <c r="O24" s="10"/>
    </row>
    <row r="25" spans="1:15" ht="15.75" customHeight="1">
      <c r="A25" s="61"/>
      <c r="B25" s="61"/>
      <c r="C25" s="66"/>
      <c r="D25" s="66"/>
      <c r="E25" s="66"/>
      <c r="F25" s="66"/>
      <c r="G25" s="66"/>
      <c r="H25" s="661"/>
      <c r="I25" s="639" t="str">
        <f>'F4'!J113</f>
        <v>Jakarta, ………………………</v>
      </c>
      <c r="J25" s="98"/>
      <c r="K25" s="2"/>
    </row>
    <row r="26" spans="1:15" ht="15.75">
      <c r="A26" s="98"/>
      <c r="B26" s="61"/>
      <c r="C26" s="66"/>
      <c r="D26" s="66"/>
      <c r="E26" s="66"/>
      <c r="F26" s="66"/>
      <c r="G26" s="66"/>
      <c r="H26" s="661"/>
      <c r="I26" s="61"/>
      <c r="J26" s="61"/>
    </row>
    <row r="27" spans="1:15" ht="15" customHeight="1">
      <c r="A27" s="639" t="str">
        <f>'F4'!A116</f>
        <v xml:space="preserve">Nama Asesor </v>
      </c>
      <c r="B27" s="655"/>
      <c r="C27" s="662"/>
      <c r="D27" s="66"/>
      <c r="E27" s="66"/>
      <c r="F27" s="66"/>
      <c r="G27" s="66"/>
      <c r="H27" s="1054" t="str">
        <f>'F4'!J116</f>
        <v xml:space="preserve">Tanda Tangan </v>
      </c>
      <c r="I27" s="1054"/>
      <c r="J27" s="61"/>
    </row>
    <row r="28" spans="1:15" ht="15" customHeight="1">
      <c r="A28" s="639"/>
      <c r="B28" s="655"/>
      <c r="C28" s="662"/>
      <c r="D28" s="66"/>
      <c r="E28" s="66"/>
      <c r="F28" s="66"/>
      <c r="G28" s="66"/>
      <c r="H28" s="639"/>
      <c r="I28" s="639"/>
      <c r="J28" s="61"/>
    </row>
    <row r="29" spans="1:15" ht="15.75" customHeight="1">
      <c r="A29" s="656"/>
      <c r="B29" s="655"/>
      <c r="C29" s="662"/>
      <c r="D29" s="66"/>
      <c r="E29" s="66"/>
      <c r="F29" s="66"/>
      <c r="G29" s="66"/>
      <c r="H29" s="656"/>
      <c r="I29" s="656"/>
      <c r="J29" s="61"/>
    </row>
    <row r="30" spans="1:15">
      <c r="A30" s="1059" t="s">
        <v>929</v>
      </c>
      <c r="B30" s="1059"/>
      <c r="C30" s="1059"/>
      <c r="D30" s="1059"/>
      <c r="E30" s="1059"/>
      <c r="F30" s="1059"/>
      <c r="G30" s="1059"/>
      <c r="H30" s="1059" t="s">
        <v>930</v>
      </c>
      <c r="I30" s="1059"/>
      <c r="J30" s="61"/>
    </row>
    <row r="31" spans="1:15" ht="15" customHeight="1">
      <c r="A31" s="606"/>
      <c r="B31" s="606"/>
      <c r="C31" s="607"/>
      <c r="D31" s="602"/>
      <c r="E31" s="602"/>
      <c r="F31" s="602"/>
      <c r="G31" s="602"/>
      <c r="H31" s="606"/>
      <c r="I31" s="606"/>
      <c r="J31" s="61"/>
    </row>
    <row r="32" spans="1:15" ht="15.75" customHeight="1">
      <c r="A32" s="606"/>
      <c r="B32" s="606"/>
      <c r="C32" s="607"/>
      <c r="D32" s="606"/>
      <c r="E32" s="606"/>
      <c r="F32" s="606"/>
      <c r="G32" s="606"/>
      <c r="H32" s="606"/>
      <c r="I32" s="603"/>
      <c r="J32" s="61"/>
    </row>
    <row r="33" spans="1:10" ht="15" customHeight="1">
      <c r="A33" s="1060" t="s">
        <v>931</v>
      </c>
      <c r="B33" s="1061"/>
      <c r="C33" s="1061"/>
      <c r="D33" s="1061"/>
      <c r="E33" s="1061"/>
      <c r="F33" s="1061"/>
      <c r="G33" s="1061"/>
      <c r="H33" s="1060" t="s">
        <v>906</v>
      </c>
      <c r="I33" s="1061"/>
      <c r="J33" s="76"/>
    </row>
    <row r="34" spans="1:10" ht="15.75" customHeight="1">
      <c r="A34" s="604"/>
      <c r="B34" s="608"/>
      <c r="C34" s="609"/>
      <c r="D34" s="609"/>
      <c r="E34" s="609"/>
      <c r="F34" s="609"/>
      <c r="G34" s="609"/>
      <c r="H34" s="610"/>
      <c r="I34" s="603"/>
      <c r="J34" s="61"/>
    </row>
    <row r="35" spans="1:10" ht="15.75" customHeight="1">
      <c r="A35" s="611"/>
      <c r="B35" s="611"/>
      <c r="C35" s="609"/>
      <c r="D35" s="609"/>
      <c r="E35" s="609"/>
      <c r="F35" s="609"/>
      <c r="G35" s="609"/>
      <c r="H35" s="610"/>
      <c r="I35" s="603"/>
      <c r="J35" s="61"/>
    </row>
    <row r="36" spans="1:10">
      <c r="A36" s="1057" t="s">
        <v>932</v>
      </c>
      <c r="B36" s="1058"/>
      <c r="C36" s="1058"/>
      <c r="D36" s="1058"/>
      <c r="E36" s="1058"/>
      <c r="F36" s="1058"/>
      <c r="G36" s="1058"/>
      <c r="H36" s="1057" t="s">
        <v>906</v>
      </c>
      <c r="I36" s="1058"/>
      <c r="J36" s="61"/>
    </row>
    <row r="37" spans="1:10">
      <c r="A37" s="603"/>
      <c r="B37" s="603"/>
      <c r="C37" s="602"/>
      <c r="D37" s="602"/>
      <c r="E37" s="602"/>
      <c r="F37" s="602"/>
      <c r="G37" s="602"/>
      <c r="H37" s="605"/>
      <c r="I37" s="603"/>
      <c r="J37" s="61"/>
    </row>
    <row r="38" spans="1:10">
      <c r="A38" s="603"/>
      <c r="B38" s="603"/>
      <c r="C38" s="602"/>
      <c r="D38" s="602"/>
      <c r="E38" s="602"/>
      <c r="F38" s="602"/>
      <c r="G38" s="602"/>
      <c r="H38" s="605"/>
      <c r="I38" s="603"/>
      <c r="J38" s="61"/>
    </row>
    <row r="39" spans="1:10">
      <c r="A39" s="1057" t="s">
        <v>933</v>
      </c>
      <c r="B39" s="1058"/>
      <c r="C39" s="1058"/>
      <c r="D39" s="1058"/>
      <c r="E39" s="1058"/>
      <c r="F39" s="1058"/>
      <c r="G39" s="1058"/>
      <c r="H39" s="1057" t="s">
        <v>906</v>
      </c>
      <c r="I39" s="1058"/>
      <c r="J39" s="61"/>
    </row>
    <row r="40" spans="1:10">
      <c r="A40" s="603"/>
      <c r="B40" s="603"/>
      <c r="C40" s="602"/>
      <c r="D40" s="602"/>
      <c r="E40" s="602"/>
      <c r="F40" s="602"/>
      <c r="G40" s="602"/>
      <c r="H40" s="605"/>
      <c r="I40" s="603"/>
      <c r="J40" s="61"/>
    </row>
    <row r="41" spans="1:10" ht="15" customHeight="1">
      <c r="A41" s="603"/>
      <c r="B41" s="603"/>
      <c r="C41" s="602"/>
      <c r="D41" s="602"/>
      <c r="E41" s="602"/>
      <c r="F41" s="602"/>
      <c r="G41" s="602"/>
      <c r="H41" s="605"/>
      <c r="I41" s="603"/>
      <c r="J41" s="61"/>
    </row>
    <row r="42" spans="1:10">
      <c r="A42" s="1057" t="s">
        <v>934</v>
      </c>
      <c r="B42" s="1058"/>
      <c r="C42" s="1058"/>
      <c r="D42" s="1058"/>
      <c r="E42" s="1058"/>
      <c r="F42" s="1058"/>
      <c r="G42" s="1058"/>
      <c r="H42" s="1057" t="s">
        <v>906</v>
      </c>
      <c r="I42" s="1058"/>
      <c r="J42" s="61"/>
    </row>
    <row r="43" spans="1:10">
      <c r="A43" s="603"/>
      <c r="B43" s="603"/>
      <c r="C43" s="602"/>
      <c r="D43" s="602"/>
      <c r="E43" s="602"/>
      <c r="F43" s="602"/>
      <c r="G43" s="602"/>
      <c r="H43" s="605"/>
      <c r="I43" s="603"/>
      <c r="J43" s="61"/>
    </row>
    <row r="44" spans="1:10" ht="16.5" customHeight="1">
      <c r="A44" s="603"/>
      <c r="B44" s="603"/>
      <c r="C44" s="602"/>
      <c r="D44" s="602"/>
      <c r="E44" s="602"/>
      <c r="F44" s="602"/>
      <c r="G44" s="602"/>
      <c r="H44" s="605"/>
      <c r="I44" s="603"/>
      <c r="J44" s="61"/>
    </row>
    <row r="45" spans="1:10">
      <c r="A45" s="603"/>
      <c r="B45" s="603"/>
      <c r="C45" s="602"/>
      <c r="D45" s="602"/>
      <c r="E45" s="602"/>
      <c r="F45" s="602"/>
      <c r="G45" s="602"/>
      <c r="H45" s="605"/>
      <c r="I45" s="603"/>
      <c r="J45" s="61"/>
    </row>
    <row r="46" spans="1:10">
      <c r="A46" s="612"/>
      <c r="B46" s="603"/>
      <c r="C46" s="602"/>
      <c r="D46" s="602"/>
      <c r="E46" s="602"/>
      <c r="F46" s="602"/>
      <c r="G46" s="602"/>
      <c r="H46" s="605"/>
      <c r="I46" s="603"/>
      <c r="J46" s="61"/>
    </row>
    <row r="47" spans="1:10">
      <c r="A47" s="634"/>
      <c r="B47" s="634"/>
      <c r="C47" s="663"/>
      <c r="D47" s="663"/>
      <c r="E47" s="663"/>
      <c r="F47" s="663"/>
      <c r="G47" s="663"/>
      <c r="H47" s="664"/>
      <c r="I47" s="634"/>
      <c r="J47" s="61"/>
    </row>
    <row r="48" spans="1:10" ht="15.75">
      <c r="A48" s="665"/>
      <c r="B48" s="61"/>
      <c r="C48" s="66"/>
      <c r="D48" s="66"/>
      <c r="E48" s="66"/>
      <c r="F48" s="66"/>
      <c r="G48" s="66"/>
      <c r="H48" s="661"/>
      <c r="I48" s="61"/>
      <c r="J48" s="61"/>
    </row>
    <row r="49" spans="1:10">
      <c r="A49" s="61"/>
      <c r="B49" s="61"/>
      <c r="C49" s="66"/>
      <c r="D49" s="66"/>
      <c r="E49" s="66"/>
      <c r="F49" s="66"/>
      <c r="G49" s="66"/>
      <c r="H49" s="661"/>
      <c r="I49" s="61"/>
      <c r="J49" s="61"/>
    </row>
    <row r="50" spans="1:10">
      <c r="A50" s="61"/>
      <c r="B50" s="61"/>
      <c r="C50" s="66"/>
      <c r="D50" s="66"/>
      <c r="E50" s="66"/>
      <c r="F50" s="66"/>
      <c r="G50" s="66"/>
      <c r="H50" s="661"/>
      <c r="I50" s="61"/>
      <c r="J50" s="61"/>
    </row>
    <row r="51" spans="1:10">
      <c r="A51" s="61"/>
      <c r="B51" s="61"/>
      <c r="C51" s="66"/>
      <c r="D51" s="66"/>
      <c r="E51" s="66"/>
      <c r="F51" s="66"/>
      <c r="G51" s="66"/>
      <c r="H51" s="661"/>
      <c r="I51" s="61"/>
      <c r="J51" s="61"/>
    </row>
    <row r="52" spans="1:10">
      <c r="A52" s="61"/>
      <c r="B52" s="61"/>
      <c r="C52" s="66"/>
      <c r="D52" s="66"/>
      <c r="E52" s="66"/>
      <c r="F52" s="66"/>
      <c r="G52" s="66"/>
      <c r="H52" s="661"/>
      <c r="I52" s="61"/>
      <c r="J52" s="61"/>
    </row>
    <row r="53" spans="1:10">
      <c r="A53" s="61"/>
      <c r="B53" s="61"/>
      <c r="C53" s="66"/>
      <c r="D53" s="66"/>
      <c r="E53" s="66"/>
      <c r="F53" s="66"/>
      <c r="G53" s="66"/>
      <c r="H53" s="661"/>
      <c r="I53" s="61"/>
      <c r="J53" s="61"/>
    </row>
    <row r="54" spans="1:10">
      <c r="A54" s="61"/>
      <c r="B54" s="61"/>
      <c r="C54" s="66"/>
      <c r="D54" s="66"/>
      <c r="E54" s="66"/>
      <c r="F54" s="66"/>
      <c r="G54" s="66"/>
      <c r="H54" s="661"/>
      <c r="I54" s="61"/>
      <c r="J54" s="61"/>
    </row>
    <row r="55" spans="1:10">
      <c r="A55" s="61"/>
      <c r="B55" s="61"/>
      <c r="C55" s="66"/>
      <c r="D55" s="66"/>
      <c r="E55" s="66"/>
      <c r="F55" s="66"/>
      <c r="G55" s="66"/>
      <c r="H55" s="661"/>
      <c r="I55" s="61"/>
      <c r="J55" s="61"/>
    </row>
    <row r="56" spans="1:10">
      <c r="A56" s="61"/>
      <c r="B56" s="61"/>
      <c r="C56" s="66"/>
      <c r="D56" s="66"/>
      <c r="E56" s="66"/>
      <c r="F56" s="66"/>
      <c r="G56" s="66"/>
      <c r="H56" s="661"/>
      <c r="I56" s="61"/>
      <c r="J56" s="61"/>
    </row>
    <row r="57" spans="1:10">
      <c r="A57" s="61"/>
      <c r="B57" s="61"/>
      <c r="C57" s="66"/>
      <c r="D57" s="66"/>
      <c r="E57" s="66"/>
      <c r="F57" s="66"/>
      <c r="G57" s="66"/>
      <c r="H57" s="661"/>
      <c r="I57" s="61"/>
      <c r="J57" s="61"/>
    </row>
  </sheetData>
  <sheetProtection sheet="1" objects="1" scenarios="1" formatColumns="0" formatRows="0" selectLockedCells="1"/>
  <mergeCells count="25">
    <mergeCell ref="A1:J1"/>
    <mergeCell ref="D4:H4"/>
    <mergeCell ref="D3:J3"/>
    <mergeCell ref="O7:O8"/>
    <mergeCell ref="A7:A8"/>
    <mergeCell ref="B7:B8"/>
    <mergeCell ref="C7:H7"/>
    <mergeCell ref="A4:C4"/>
    <mergeCell ref="A6:J6"/>
    <mergeCell ref="A3:C3"/>
    <mergeCell ref="I7:I8"/>
    <mergeCell ref="J7:J8"/>
    <mergeCell ref="N7:N8"/>
    <mergeCell ref="L7:M8"/>
    <mergeCell ref="A42:G42"/>
    <mergeCell ref="H42:I42"/>
    <mergeCell ref="A30:G30"/>
    <mergeCell ref="A33:G33"/>
    <mergeCell ref="H27:I27"/>
    <mergeCell ref="H30:I30"/>
    <mergeCell ref="H33:I33"/>
    <mergeCell ref="A36:G36"/>
    <mergeCell ref="H36:I36"/>
    <mergeCell ref="A39:G39"/>
    <mergeCell ref="H39:I39"/>
  </mergeCells>
  <phoneticPr fontId="35" type="noConversion"/>
  <pageMargins left="0.7" right="0.7" top="0.75" bottom="0.75" header="0.3" footer="0.3"/>
  <pageSetup orientation="portrait" r:id="rId1"/>
  <headerFooter>
    <oddFooter>&amp;LFormat 7 - &amp;D@&amp;T&amp;CAIPT&amp;R&amp;P/&amp;N</oddFooter>
  </headerFooter>
  <drawing r:id="rId2"/>
</worksheet>
</file>

<file path=xl/worksheets/sheet9.xml><?xml version="1.0" encoding="utf-8"?>
<worksheet xmlns="http://schemas.openxmlformats.org/spreadsheetml/2006/main" xmlns:r="http://schemas.openxmlformats.org/officeDocument/2006/relationships">
  <sheetPr codeName="Sheet11"/>
  <dimension ref="A1:P145"/>
  <sheetViews>
    <sheetView workbookViewId="0">
      <selection activeCell="A10" sqref="A10:I21"/>
    </sheetView>
  </sheetViews>
  <sheetFormatPr defaultRowHeight="15"/>
  <cols>
    <col min="2" max="2" width="9.28515625" customWidth="1"/>
    <col min="4" max="4" width="11.5703125" customWidth="1"/>
  </cols>
  <sheetData>
    <row r="1" spans="1:16" ht="33.75" customHeight="1">
      <c r="A1" s="1077" t="s">
        <v>943</v>
      </c>
      <c r="B1" s="1078"/>
      <c r="C1" s="1078"/>
      <c r="D1" s="1078"/>
      <c r="E1" s="1078"/>
      <c r="F1" s="1078"/>
      <c r="G1" s="1078"/>
      <c r="H1" s="1078"/>
      <c r="I1" s="1078"/>
      <c r="J1" s="28"/>
      <c r="K1" s="28"/>
      <c r="L1" s="28"/>
    </row>
    <row r="2" spans="1:16" ht="15.75">
      <c r="A2" s="1"/>
    </row>
    <row r="3" spans="1:16" ht="15.75">
      <c r="A3" s="1068" t="str">
        <f>'F1'!A5:C5</f>
        <v>Nama Perguruan Tinggi:</v>
      </c>
      <c r="B3" s="1068"/>
      <c r="C3" s="1068"/>
      <c r="D3" s="1079" t="str">
        <f>'F1'!D5</f>
        <v>Nama Perguruan Tinggi</v>
      </c>
      <c r="E3" s="1079"/>
      <c r="F3" s="1079"/>
      <c r="G3" s="1079"/>
      <c r="H3" s="1079"/>
      <c r="I3" s="1079"/>
    </row>
    <row r="4" spans="1:16" ht="15.75">
      <c r="A4" s="1068" t="str">
        <f>'F1'!A7:C7</f>
        <v>Kode Panel</v>
      </c>
      <c r="B4" s="1068"/>
      <c r="C4" s="1068"/>
      <c r="D4" s="38" t="str">
        <f>'F1'!D7</f>
        <v>P019</v>
      </c>
    </row>
    <row r="5" spans="1:16" ht="15.75">
      <c r="A5" s="1068"/>
      <c r="B5" s="1068"/>
      <c r="C5" s="1068"/>
      <c r="D5" s="6"/>
    </row>
    <row r="6" spans="1:16" ht="51" customHeight="1">
      <c r="A6" s="1082" t="s">
        <v>1019</v>
      </c>
      <c r="B6" s="1034"/>
      <c r="C6" s="1034"/>
      <c r="D6" s="1034"/>
      <c r="E6" s="1034"/>
      <c r="F6" s="1034"/>
      <c r="G6" s="1034"/>
      <c r="H6" s="1034"/>
      <c r="I6" s="1034"/>
      <c r="J6" s="13"/>
      <c r="K6" s="12"/>
      <c r="L6" s="12"/>
      <c r="M6" s="12"/>
      <c r="N6" s="12"/>
      <c r="O6" s="12"/>
      <c r="P6" s="12"/>
    </row>
    <row r="8" spans="1:16">
      <c r="A8" s="119" t="s">
        <v>117</v>
      </c>
      <c r="B8" s="12"/>
      <c r="C8" s="12"/>
      <c r="D8" s="12"/>
      <c r="E8" s="12"/>
      <c r="F8" s="12"/>
      <c r="G8" s="12"/>
      <c r="H8" s="12"/>
      <c r="I8" s="12"/>
      <c r="J8" s="12"/>
      <c r="K8" s="12"/>
    </row>
    <row r="9" spans="1:16">
      <c r="A9" s="102"/>
      <c r="B9" s="12"/>
      <c r="C9" s="12"/>
      <c r="D9" s="12"/>
      <c r="E9" s="12"/>
      <c r="F9" s="12"/>
      <c r="G9" s="12"/>
      <c r="H9" s="12"/>
      <c r="I9" s="12"/>
      <c r="J9" s="12"/>
      <c r="K9" s="12"/>
    </row>
    <row r="10" spans="1:16">
      <c r="A10" s="1080" t="s">
        <v>950</v>
      </c>
      <c r="B10" s="1081"/>
      <c r="C10" s="1081"/>
      <c r="D10" s="1081"/>
      <c r="E10" s="1081"/>
      <c r="F10" s="1081"/>
      <c r="G10" s="1081"/>
      <c r="H10" s="1081"/>
      <c r="I10" s="1081"/>
      <c r="J10" s="118"/>
    </row>
    <row r="11" spans="1:16">
      <c r="A11" s="1081"/>
      <c r="B11" s="1081"/>
      <c r="C11" s="1081"/>
      <c r="D11" s="1081"/>
      <c r="E11" s="1081"/>
      <c r="F11" s="1081"/>
      <c r="G11" s="1081"/>
      <c r="H11" s="1081"/>
      <c r="I11" s="1081"/>
      <c r="J11" s="118"/>
    </row>
    <row r="12" spans="1:16">
      <c r="A12" s="1081"/>
      <c r="B12" s="1081"/>
      <c r="C12" s="1081"/>
      <c r="D12" s="1081"/>
      <c r="E12" s="1081"/>
      <c r="F12" s="1081"/>
      <c r="G12" s="1081"/>
      <c r="H12" s="1081"/>
      <c r="I12" s="1081"/>
      <c r="J12" s="118"/>
    </row>
    <row r="13" spans="1:16">
      <c r="A13" s="1081"/>
      <c r="B13" s="1081"/>
      <c r="C13" s="1081"/>
      <c r="D13" s="1081"/>
      <c r="E13" s="1081"/>
      <c r="F13" s="1081"/>
      <c r="G13" s="1081"/>
      <c r="H13" s="1081"/>
      <c r="I13" s="1081"/>
      <c r="J13" s="118"/>
    </row>
    <row r="14" spans="1:16">
      <c r="A14" s="1081"/>
      <c r="B14" s="1081"/>
      <c r="C14" s="1081"/>
      <c r="D14" s="1081"/>
      <c r="E14" s="1081"/>
      <c r="F14" s="1081"/>
      <c r="G14" s="1081"/>
      <c r="H14" s="1081"/>
      <c r="I14" s="1081"/>
      <c r="J14" s="118"/>
    </row>
    <row r="15" spans="1:16">
      <c r="A15" s="1081"/>
      <c r="B15" s="1081"/>
      <c r="C15" s="1081"/>
      <c r="D15" s="1081"/>
      <c r="E15" s="1081"/>
      <c r="F15" s="1081"/>
      <c r="G15" s="1081"/>
      <c r="H15" s="1081"/>
      <c r="I15" s="1081"/>
      <c r="J15" s="118"/>
    </row>
    <row r="16" spans="1:16">
      <c r="A16" s="1081"/>
      <c r="B16" s="1081"/>
      <c r="C16" s="1081"/>
      <c r="D16" s="1081"/>
      <c r="E16" s="1081"/>
      <c r="F16" s="1081"/>
      <c r="G16" s="1081"/>
      <c r="H16" s="1081"/>
      <c r="I16" s="1081"/>
      <c r="J16" s="118"/>
    </row>
    <row r="17" spans="1:11">
      <c r="A17" s="1081"/>
      <c r="B17" s="1081"/>
      <c r="C17" s="1081"/>
      <c r="D17" s="1081"/>
      <c r="E17" s="1081"/>
      <c r="F17" s="1081"/>
      <c r="G17" s="1081"/>
      <c r="H17" s="1081"/>
      <c r="I17" s="1081"/>
      <c r="J17" s="118"/>
    </row>
    <row r="18" spans="1:11">
      <c r="A18" s="1081"/>
      <c r="B18" s="1081"/>
      <c r="C18" s="1081"/>
      <c r="D18" s="1081"/>
      <c r="E18" s="1081"/>
      <c r="F18" s="1081"/>
      <c r="G18" s="1081"/>
      <c r="H18" s="1081"/>
      <c r="I18" s="1081"/>
      <c r="J18" s="118"/>
    </row>
    <row r="19" spans="1:11">
      <c r="A19" s="1081"/>
      <c r="B19" s="1081"/>
      <c r="C19" s="1081"/>
      <c r="D19" s="1081"/>
      <c r="E19" s="1081"/>
      <c r="F19" s="1081"/>
      <c r="G19" s="1081"/>
      <c r="H19" s="1081"/>
      <c r="I19" s="1081"/>
      <c r="J19" s="118"/>
    </row>
    <row r="20" spans="1:11">
      <c r="A20" s="1081"/>
      <c r="B20" s="1081"/>
      <c r="C20" s="1081"/>
      <c r="D20" s="1081"/>
      <c r="E20" s="1081"/>
      <c r="F20" s="1081"/>
      <c r="G20" s="1081"/>
      <c r="H20" s="1081"/>
      <c r="I20" s="1081"/>
      <c r="J20" s="118"/>
    </row>
    <row r="21" spans="1:11">
      <c r="A21" s="1081"/>
      <c r="B21" s="1081"/>
      <c r="C21" s="1081"/>
      <c r="D21" s="1081"/>
      <c r="E21" s="1081"/>
      <c r="F21" s="1081"/>
      <c r="G21" s="1081"/>
      <c r="H21" s="1081"/>
      <c r="I21" s="1081"/>
    </row>
    <row r="22" spans="1:11">
      <c r="A22" s="120" t="s">
        <v>118</v>
      </c>
      <c r="B22" s="12"/>
      <c r="C22" s="12"/>
      <c r="D22" s="12"/>
      <c r="E22" s="12"/>
      <c r="F22" s="12"/>
      <c r="G22" s="12"/>
      <c r="H22" s="12"/>
      <c r="I22" s="12"/>
      <c r="J22" s="12"/>
      <c r="K22" s="12"/>
    </row>
    <row r="23" spans="1:11">
      <c r="A23" s="24" t="s">
        <v>89</v>
      </c>
    </row>
    <row r="24" spans="1:11">
      <c r="A24" s="1080" t="s">
        <v>951</v>
      </c>
      <c r="B24" s="1081"/>
      <c r="C24" s="1081"/>
      <c r="D24" s="1081"/>
      <c r="E24" s="1081"/>
      <c r="F24" s="1081"/>
      <c r="G24" s="1081"/>
      <c r="H24" s="1081"/>
      <c r="I24" s="1081"/>
      <c r="J24" s="118"/>
    </row>
    <row r="25" spans="1:11">
      <c r="A25" s="1081"/>
      <c r="B25" s="1081"/>
      <c r="C25" s="1081"/>
      <c r="D25" s="1081"/>
      <c r="E25" s="1081"/>
      <c r="F25" s="1081"/>
      <c r="G25" s="1081"/>
      <c r="H25" s="1081"/>
      <c r="I25" s="1081"/>
      <c r="J25" s="118"/>
    </row>
    <row r="26" spans="1:11">
      <c r="A26" s="1081"/>
      <c r="B26" s="1081"/>
      <c r="C26" s="1081"/>
      <c r="D26" s="1081"/>
      <c r="E26" s="1081"/>
      <c r="F26" s="1081"/>
      <c r="G26" s="1081"/>
      <c r="H26" s="1081"/>
      <c r="I26" s="1081"/>
      <c r="J26" s="118"/>
    </row>
    <row r="27" spans="1:11">
      <c r="A27" s="1081"/>
      <c r="B27" s="1081"/>
      <c r="C27" s="1081"/>
      <c r="D27" s="1081"/>
      <c r="E27" s="1081"/>
      <c r="F27" s="1081"/>
      <c r="G27" s="1081"/>
      <c r="H27" s="1081"/>
      <c r="I27" s="1081"/>
      <c r="J27" s="118"/>
    </row>
    <row r="28" spans="1:11">
      <c r="A28" s="1081"/>
      <c r="B28" s="1081"/>
      <c r="C28" s="1081"/>
      <c r="D28" s="1081"/>
      <c r="E28" s="1081"/>
      <c r="F28" s="1081"/>
      <c r="G28" s="1081"/>
      <c r="H28" s="1081"/>
      <c r="I28" s="1081"/>
      <c r="J28" s="118"/>
    </row>
    <row r="29" spans="1:11">
      <c r="A29" s="1081"/>
      <c r="B29" s="1081"/>
      <c r="C29" s="1081"/>
      <c r="D29" s="1081"/>
      <c r="E29" s="1081"/>
      <c r="F29" s="1081"/>
      <c r="G29" s="1081"/>
      <c r="H29" s="1081"/>
      <c r="I29" s="1081"/>
      <c r="J29" s="118"/>
    </row>
    <row r="30" spans="1:11">
      <c r="A30" s="1081"/>
      <c r="B30" s="1081"/>
      <c r="C30" s="1081"/>
      <c r="D30" s="1081"/>
      <c r="E30" s="1081"/>
      <c r="F30" s="1081"/>
      <c r="G30" s="1081"/>
      <c r="H30" s="1081"/>
      <c r="I30" s="1081"/>
      <c r="J30" s="118"/>
    </row>
    <row r="31" spans="1:11">
      <c r="A31" s="1081"/>
      <c r="B31" s="1081"/>
      <c r="C31" s="1081"/>
      <c r="D31" s="1081"/>
      <c r="E31" s="1081"/>
      <c r="F31" s="1081"/>
      <c r="G31" s="1081"/>
      <c r="H31" s="1081"/>
      <c r="I31" s="1081"/>
      <c r="J31" s="118"/>
    </row>
    <row r="32" spans="1:11">
      <c r="A32" s="1081"/>
      <c r="B32" s="1081"/>
      <c r="C32" s="1081"/>
      <c r="D32" s="1081"/>
      <c r="E32" s="1081"/>
      <c r="F32" s="1081"/>
      <c r="G32" s="1081"/>
      <c r="H32" s="1081"/>
      <c r="I32" s="1081"/>
      <c r="J32" s="118"/>
    </row>
    <row r="33" spans="1:10">
      <c r="A33" s="1081"/>
      <c r="B33" s="1081"/>
      <c r="C33" s="1081"/>
      <c r="D33" s="1081"/>
      <c r="E33" s="1081"/>
      <c r="F33" s="1081"/>
      <c r="G33" s="1081"/>
      <c r="H33" s="1081"/>
      <c r="I33" s="1081"/>
      <c r="J33" s="118"/>
    </row>
    <row r="34" spans="1:10">
      <c r="A34" s="1081"/>
      <c r="B34" s="1081"/>
      <c r="C34" s="1081"/>
      <c r="D34" s="1081"/>
      <c r="E34" s="1081"/>
      <c r="F34" s="1081"/>
      <c r="G34" s="1081"/>
      <c r="H34" s="1081"/>
      <c r="I34" s="1081"/>
      <c r="J34" s="118"/>
    </row>
    <row r="35" spans="1:10">
      <c r="A35" s="22"/>
    </row>
    <row r="36" spans="1:10">
      <c r="A36" s="39" t="s">
        <v>119</v>
      </c>
    </row>
    <row r="37" spans="1:10">
      <c r="A37" s="39"/>
    </row>
    <row r="38" spans="1:10">
      <c r="A38" s="1080" t="s">
        <v>951</v>
      </c>
      <c r="B38" s="1081"/>
      <c r="C38" s="1081"/>
      <c r="D38" s="1081"/>
      <c r="E38" s="1081"/>
      <c r="F38" s="1081"/>
      <c r="G38" s="1081"/>
      <c r="H38" s="1081"/>
      <c r="I38" s="1081"/>
      <c r="J38" s="117"/>
    </row>
    <row r="39" spans="1:10">
      <c r="A39" s="1081"/>
      <c r="B39" s="1081"/>
      <c r="C39" s="1081"/>
      <c r="D39" s="1081"/>
      <c r="E39" s="1081"/>
      <c r="F39" s="1081"/>
      <c r="G39" s="1081"/>
      <c r="H39" s="1081"/>
      <c r="I39" s="1081"/>
      <c r="J39" s="117"/>
    </row>
    <row r="40" spans="1:10">
      <c r="A40" s="1081"/>
      <c r="B40" s="1081"/>
      <c r="C40" s="1081"/>
      <c r="D40" s="1081"/>
      <c r="E40" s="1081"/>
      <c r="F40" s="1081"/>
      <c r="G40" s="1081"/>
      <c r="H40" s="1081"/>
      <c r="I40" s="1081"/>
      <c r="J40" s="117"/>
    </row>
    <row r="41" spans="1:10">
      <c r="A41" s="1081"/>
      <c r="B41" s="1081"/>
      <c r="C41" s="1081"/>
      <c r="D41" s="1081"/>
      <c r="E41" s="1081"/>
      <c r="F41" s="1081"/>
      <c r="G41" s="1081"/>
      <c r="H41" s="1081"/>
      <c r="I41" s="1081"/>
      <c r="J41" s="117"/>
    </row>
    <row r="42" spans="1:10">
      <c r="A42" s="1081"/>
      <c r="B42" s="1081"/>
      <c r="C42" s="1081"/>
      <c r="D42" s="1081"/>
      <c r="E42" s="1081"/>
      <c r="F42" s="1081"/>
      <c r="G42" s="1081"/>
      <c r="H42" s="1081"/>
      <c r="I42" s="1081"/>
      <c r="J42" s="117"/>
    </row>
    <row r="43" spans="1:10">
      <c r="A43" s="1081"/>
      <c r="B43" s="1081"/>
      <c r="C43" s="1081"/>
      <c r="D43" s="1081"/>
      <c r="E43" s="1081"/>
      <c r="F43" s="1081"/>
      <c r="G43" s="1081"/>
      <c r="H43" s="1081"/>
      <c r="I43" s="1081"/>
      <c r="J43" s="117"/>
    </row>
    <row r="44" spans="1:10">
      <c r="A44" s="1081"/>
      <c r="B44" s="1081"/>
      <c r="C44" s="1081"/>
      <c r="D44" s="1081"/>
      <c r="E44" s="1081"/>
      <c r="F44" s="1081"/>
      <c r="G44" s="1081"/>
      <c r="H44" s="1081"/>
      <c r="I44" s="1081"/>
      <c r="J44" s="117"/>
    </row>
    <row r="45" spans="1:10">
      <c r="A45" s="1081"/>
      <c r="B45" s="1081"/>
      <c r="C45" s="1081"/>
      <c r="D45" s="1081"/>
      <c r="E45" s="1081"/>
      <c r="F45" s="1081"/>
      <c r="G45" s="1081"/>
      <c r="H45" s="1081"/>
      <c r="I45" s="1081"/>
      <c r="J45" s="117"/>
    </row>
    <row r="46" spans="1:10">
      <c r="A46" s="1081"/>
      <c r="B46" s="1081"/>
      <c r="C46" s="1081"/>
      <c r="D46" s="1081"/>
      <c r="E46" s="1081"/>
      <c r="F46" s="1081"/>
      <c r="G46" s="1081"/>
      <c r="H46" s="1081"/>
      <c r="I46" s="1081"/>
      <c r="J46" s="117"/>
    </row>
    <row r="47" spans="1:10">
      <c r="A47" s="1081"/>
      <c r="B47" s="1081"/>
      <c r="C47" s="1081"/>
      <c r="D47" s="1081"/>
      <c r="E47" s="1081"/>
      <c r="F47" s="1081"/>
      <c r="G47" s="1081"/>
      <c r="H47" s="1081"/>
      <c r="I47" s="1081"/>
      <c r="J47" s="117"/>
    </row>
    <row r="48" spans="1:10">
      <c r="A48" s="1081"/>
      <c r="B48" s="1081"/>
      <c r="C48" s="1081"/>
      <c r="D48" s="1081"/>
      <c r="E48" s="1081"/>
      <c r="F48" s="1081"/>
      <c r="G48" s="1081"/>
      <c r="H48" s="1081"/>
      <c r="I48" s="1081"/>
      <c r="J48" s="117"/>
    </row>
    <row r="49" spans="1:10">
      <c r="A49" s="117"/>
      <c r="B49" s="117"/>
      <c r="C49" s="117"/>
      <c r="D49" s="117"/>
      <c r="E49" s="117"/>
      <c r="F49" s="117"/>
      <c r="G49" s="117"/>
      <c r="H49" s="117"/>
      <c r="I49" s="117"/>
      <c r="J49" s="117"/>
    </row>
    <row r="50" spans="1:10">
      <c r="A50" s="22"/>
    </row>
    <row r="51" spans="1:10">
      <c r="A51" s="1083" t="s">
        <v>87</v>
      </c>
      <c r="B51" s="1084"/>
      <c r="C51" s="1084"/>
      <c r="D51" s="1084"/>
      <c r="E51" s="1084"/>
      <c r="F51" s="1084"/>
      <c r="G51" s="1084"/>
      <c r="H51" s="1084"/>
      <c r="I51" s="1084"/>
    </row>
    <row r="52" spans="1:10">
      <c r="A52" s="25"/>
      <c r="B52" s="12"/>
      <c r="C52" s="12"/>
      <c r="D52" s="12"/>
      <c r="E52" s="12"/>
      <c r="F52" s="12"/>
      <c r="G52" s="12"/>
      <c r="H52" s="12"/>
      <c r="I52" s="12"/>
    </row>
    <row r="53" spans="1:10">
      <c r="A53" s="1080" t="s">
        <v>951</v>
      </c>
      <c r="B53" s="1081"/>
      <c r="C53" s="1081"/>
      <c r="D53" s="1081"/>
      <c r="E53" s="1081"/>
      <c r="F53" s="1081"/>
      <c r="G53" s="1081"/>
      <c r="H53" s="1081"/>
      <c r="I53" s="1081"/>
      <c r="J53" s="118"/>
    </row>
    <row r="54" spans="1:10">
      <c r="A54" s="1081"/>
      <c r="B54" s="1081"/>
      <c r="C54" s="1081"/>
      <c r="D54" s="1081"/>
      <c r="E54" s="1081"/>
      <c r="F54" s="1081"/>
      <c r="G54" s="1081"/>
      <c r="H54" s="1081"/>
      <c r="I54" s="1081"/>
      <c r="J54" s="118"/>
    </row>
    <row r="55" spans="1:10">
      <c r="A55" s="1081"/>
      <c r="B55" s="1081"/>
      <c r="C55" s="1081"/>
      <c r="D55" s="1081"/>
      <c r="E55" s="1081"/>
      <c r="F55" s="1081"/>
      <c r="G55" s="1081"/>
      <c r="H55" s="1081"/>
      <c r="I55" s="1081"/>
      <c r="J55" s="118"/>
    </row>
    <row r="56" spans="1:10">
      <c r="A56" s="1081"/>
      <c r="B56" s="1081"/>
      <c r="C56" s="1081"/>
      <c r="D56" s="1081"/>
      <c r="E56" s="1081"/>
      <c r="F56" s="1081"/>
      <c r="G56" s="1081"/>
      <c r="H56" s="1081"/>
      <c r="I56" s="1081"/>
      <c r="J56" s="118"/>
    </row>
    <row r="57" spans="1:10">
      <c r="A57" s="1081"/>
      <c r="B57" s="1081"/>
      <c r="C57" s="1081"/>
      <c r="D57" s="1081"/>
      <c r="E57" s="1081"/>
      <c r="F57" s="1081"/>
      <c r="G57" s="1081"/>
      <c r="H57" s="1081"/>
      <c r="I57" s="1081"/>
      <c r="J57" s="118"/>
    </row>
    <row r="58" spans="1:10">
      <c r="A58" s="1081"/>
      <c r="B58" s="1081"/>
      <c r="C58" s="1081"/>
      <c r="D58" s="1081"/>
      <c r="E58" s="1081"/>
      <c r="F58" s="1081"/>
      <c r="G58" s="1081"/>
      <c r="H58" s="1081"/>
      <c r="I58" s="1081"/>
      <c r="J58" s="118"/>
    </row>
    <row r="59" spans="1:10">
      <c r="A59" s="1081"/>
      <c r="B59" s="1081"/>
      <c r="C59" s="1081"/>
      <c r="D59" s="1081"/>
      <c r="E59" s="1081"/>
      <c r="F59" s="1081"/>
      <c r="G59" s="1081"/>
      <c r="H59" s="1081"/>
      <c r="I59" s="1081"/>
      <c r="J59" s="118"/>
    </row>
    <row r="60" spans="1:10">
      <c r="A60" s="1081"/>
      <c r="B60" s="1081"/>
      <c r="C60" s="1081"/>
      <c r="D60" s="1081"/>
      <c r="E60" s="1081"/>
      <c r="F60" s="1081"/>
      <c r="G60" s="1081"/>
      <c r="H60" s="1081"/>
      <c r="I60" s="1081"/>
      <c r="J60" s="118"/>
    </row>
    <row r="61" spans="1:10">
      <c r="A61" s="1081"/>
      <c r="B61" s="1081"/>
      <c r="C61" s="1081"/>
      <c r="D61" s="1081"/>
      <c r="E61" s="1081"/>
      <c r="F61" s="1081"/>
      <c r="G61" s="1081"/>
      <c r="H61" s="1081"/>
      <c r="I61" s="1081"/>
      <c r="J61" s="118"/>
    </row>
    <row r="62" spans="1:10">
      <c r="A62" s="1081"/>
      <c r="B62" s="1081"/>
      <c r="C62" s="1081"/>
      <c r="D62" s="1081"/>
      <c r="E62" s="1081"/>
      <c r="F62" s="1081"/>
      <c r="G62" s="1081"/>
      <c r="H62" s="1081"/>
      <c r="I62" s="1081"/>
      <c r="J62" s="118"/>
    </row>
    <row r="63" spans="1:10">
      <c r="A63" s="1081"/>
      <c r="B63" s="1081"/>
      <c r="C63" s="1081"/>
      <c r="D63" s="1081"/>
      <c r="E63" s="1081"/>
      <c r="F63" s="1081"/>
      <c r="G63" s="1081"/>
      <c r="H63" s="1081"/>
      <c r="I63" s="1081"/>
      <c r="J63" s="118"/>
    </row>
    <row r="64" spans="1:10">
      <c r="A64" s="22"/>
    </row>
    <row r="65" spans="1:10">
      <c r="A65" s="25" t="s">
        <v>88</v>
      </c>
    </row>
    <row r="66" spans="1:10">
      <c r="A66" s="25"/>
    </row>
    <row r="67" spans="1:10">
      <c r="A67" s="1080" t="s">
        <v>663</v>
      </c>
      <c r="B67" s="1081"/>
      <c r="C67" s="1081"/>
      <c r="D67" s="1081"/>
      <c r="E67" s="1081"/>
      <c r="F67" s="1081"/>
      <c r="G67" s="1081"/>
      <c r="H67" s="1081"/>
      <c r="I67" s="1081"/>
      <c r="J67" s="118"/>
    </row>
    <row r="68" spans="1:10">
      <c r="A68" s="1081"/>
      <c r="B68" s="1081"/>
      <c r="C68" s="1081"/>
      <c r="D68" s="1081"/>
      <c r="E68" s="1081"/>
      <c r="F68" s="1081"/>
      <c r="G68" s="1081"/>
      <c r="H68" s="1081"/>
      <c r="I68" s="1081"/>
      <c r="J68" s="118"/>
    </row>
    <row r="69" spans="1:10">
      <c r="A69" s="1081"/>
      <c r="B69" s="1081"/>
      <c r="C69" s="1081"/>
      <c r="D69" s="1081"/>
      <c r="E69" s="1081"/>
      <c r="F69" s="1081"/>
      <c r="G69" s="1081"/>
      <c r="H69" s="1081"/>
      <c r="I69" s="1081"/>
      <c r="J69" s="118"/>
    </row>
    <row r="70" spans="1:10">
      <c r="A70" s="1081"/>
      <c r="B70" s="1081"/>
      <c r="C70" s="1081"/>
      <c r="D70" s="1081"/>
      <c r="E70" s="1081"/>
      <c r="F70" s="1081"/>
      <c r="G70" s="1081"/>
      <c r="H70" s="1081"/>
      <c r="I70" s="1081"/>
      <c r="J70" s="118"/>
    </row>
    <row r="71" spans="1:10">
      <c r="A71" s="1081"/>
      <c r="B71" s="1081"/>
      <c r="C71" s="1081"/>
      <c r="D71" s="1081"/>
      <c r="E71" s="1081"/>
      <c r="F71" s="1081"/>
      <c r="G71" s="1081"/>
      <c r="H71" s="1081"/>
      <c r="I71" s="1081"/>
      <c r="J71" s="118"/>
    </row>
    <row r="72" spans="1:10">
      <c r="A72" s="1081"/>
      <c r="B72" s="1081"/>
      <c r="C72" s="1081"/>
      <c r="D72" s="1081"/>
      <c r="E72" s="1081"/>
      <c r="F72" s="1081"/>
      <c r="G72" s="1081"/>
      <c r="H72" s="1081"/>
      <c r="I72" s="1081"/>
      <c r="J72" s="118"/>
    </row>
    <row r="73" spans="1:10">
      <c r="A73" s="1081"/>
      <c r="B73" s="1081"/>
      <c r="C73" s="1081"/>
      <c r="D73" s="1081"/>
      <c r="E73" s="1081"/>
      <c r="F73" s="1081"/>
      <c r="G73" s="1081"/>
      <c r="H73" s="1081"/>
      <c r="I73" s="1081"/>
      <c r="J73" s="118"/>
    </row>
    <row r="74" spans="1:10">
      <c r="A74" s="1081"/>
      <c r="B74" s="1081"/>
      <c r="C74" s="1081"/>
      <c r="D74" s="1081"/>
      <c r="E74" s="1081"/>
      <c r="F74" s="1081"/>
      <c r="G74" s="1081"/>
      <c r="H74" s="1081"/>
      <c r="I74" s="1081"/>
      <c r="J74" s="118"/>
    </row>
    <row r="75" spans="1:10">
      <c r="A75" s="1081"/>
      <c r="B75" s="1081"/>
      <c r="C75" s="1081"/>
      <c r="D75" s="1081"/>
      <c r="E75" s="1081"/>
      <c r="F75" s="1081"/>
      <c r="G75" s="1081"/>
      <c r="H75" s="1081"/>
      <c r="I75" s="1081"/>
      <c r="J75" s="118"/>
    </row>
    <row r="76" spans="1:10">
      <c r="A76" s="1081"/>
      <c r="B76" s="1081"/>
      <c r="C76" s="1081"/>
      <c r="D76" s="1081"/>
      <c r="E76" s="1081"/>
      <c r="F76" s="1081"/>
      <c r="G76" s="1081"/>
      <c r="H76" s="1081"/>
      <c r="I76" s="1081"/>
      <c r="J76" s="118"/>
    </row>
    <row r="77" spans="1:10" ht="16.5" customHeight="1">
      <c r="A77" s="1081"/>
      <c r="B77" s="1081"/>
      <c r="C77" s="1081"/>
      <c r="D77" s="1081"/>
      <c r="E77" s="1081"/>
      <c r="F77" s="1081"/>
      <c r="G77" s="1081"/>
      <c r="H77" s="1081"/>
      <c r="I77" s="1081"/>
      <c r="J77" s="118"/>
    </row>
    <row r="78" spans="1:10">
      <c r="A78" s="116"/>
      <c r="B78" s="118"/>
      <c r="C78" s="118"/>
      <c r="D78" s="118"/>
      <c r="E78" s="118"/>
      <c r="F78" s="118"/>
      <c r="G78" s="118"/>
      <c r="H78" s="118"/>
      <c r="I78" s="118"/>
      <c r="J78" s="118"/>
    </row>
    <row r="79" spans="1:10" ht="15.75">
      <c r="A79" s="26"/>
    </row>
    <row r="80" spans="1:10">
      <c r="A80" s="120" t="s">
        <v>120</v>
      </c>
      <c r="B80" s="12"/>
      <c r="C80" s="12"/>
      <c r="D80" s="12"/>
      <c r="E80" s="12"/>
      <c r="F80" s="12"/>
      <c r="G80" s="12"/>
      <c r="H80" s="12"/>
      <c r="I80" s="12"/>
      <c r="J80" s="12"/>
    </row>
    <row r="81" spans="1:11">
      <c r="A81" s="25"/>
      <c r="B81" s="12"/>
      <c r="C81" s="12"/>
      <c r="D81" s="12"/>
      <c r="E81" s="12"/>
      <c r="F81" s="12"/>
      <c r="G81" s="12"/>
      <c r="H81" s="12"/>
      <c r="I81" s="12"/>
      <c r="J81" s="12"/>
    </row>
    <row r="82" spans="1:11">
      <c r="A82" s="1080" t="s">
        <v>953</v>
      </c>
      <c r="B82" s="1081"/>
      <c r="C82" s="1081"/>
      <c r="D82" s="1081"/>
      <c r="E82" s="1081"/>
      <c r="F82" s="1081"/>
      <c r="G82" s="1081"/>
      <c r="H82" s="1081"/>
      <c r="I82" s="1081"/>
      <c r="J82" s="118"/>
    </row>
    <row r="83" spans="1:11">
      <c r="A83" s="1081"/>
      <c r="B83" s="1081"/>
      <c r="C83" s="1081"/>
      <c r="D83" s="1081"/>
      <c r="E83" s="1081"/>
      <c r="F83" s="1081"/>
      <c r="G83" s="1081"/>
      <c r="H83" s="1081"/>
      <c r="I83" s="1081"/>
      <c r="J83" s="118"/>
    </row>
    <row r="84" spans="1:11">
      <c r="A84" s="1081"/>
      <c r="B84" s="1081"/>
      <c r="C84" s="1081"/>
      <c r="D84" s="1081"/>
      <c r="E84" s="1081"/>
      <c r="F84" s="1081"/>
      <c r="G84" s="1081"/>
      <c r="H84" s="1081"/>
      <c r="I84" s="1081"/>
      <c r="J84" s="118"/>
    </row>
    <row r="85" spans="1:11">
      <c r="A85" s="1081"/>
      <c r="B85" s="1081"/>
      <c r="C85" s="1081"/>
      <c r="D85" s="1081"/>
      <c r="E85" s="1081"/>
      <c r="F85" s="1081"/>
      <c r="G85" s="1081"/>
      <c r="H85" s="1081"/>
      <c r="I85" s="1081"/>
      <c r="J85" s="118"/>
    </row>
    <row r="86" spans="1:11">
      <c r="A86" s="1081"/>
      <c r="B86" s="1081"/>
      <c r="C86" s="1081"/>
      <c r="D86" s="1081"/>
      <c r="E86" s="1081"/>
      <c r="F86" s="1081"/>
      <c r="G86" s="1081"/>
      <c r="H86" s="1081"/>
      <c r="I86" s="1081"/>
      <c r="J86" s="118"/>
    </row>
    <row r="87" spans="1:11">
      <c r="A87" s="1081"/>
      <c r="B87" s="1081"/>
      <c r="C87" s="1081"/>
      <c r="D87" s="1081"/>
      <c r="E87" s="1081"/>
      <c r="F87" s="1081"/>
      <c r="G87" s="1081"/>
      <c r="H87" s="1081"/>
      <c r="I87" s="1081"/>
      <c r="J87" s="118"/>
    </row>
    <row r="88" spans="1:11">
      <c r="A88" s="1081"/>
      <c r="B88" s="1081"/>
      <c r="C88" s="1081"/>
      <c r="D88" s="1081"/>
      <c r="E88" s="1081"/>
      <c r="F88" s="1081"/>
      <c r="G88" s="1081"/>
      <c r="H88" s="1081"/>
      <c r="I88" s="1081"/>
      <c r="J88" s="118"/>
    </row>
    <row r="89" spans="1:11">
      <c r="A89" s="1081"/>
      <c r="B89" s="1081"/>
      <c r="C89" s="1081"/>
      <c r="D89" s="1081"/>
      <c r="E89" s="1081"/>
      <c r="F89" s="1081"/>
      <c r="G89" s="1081"/>
      <c r="H89" s="1081"/>
      <c r="I89" s="1081"/>
      <c r="J89" s="118"/>
    </row>
    <row r="90" spans="1:11">
      <c r="A90" s="1081"/>
      <c r="B90" s="1081"/>
      <c r="C90" s="1081"/>
      <c r="D90" s="1081"/>
      <c r="E90" s="1081"/>
      <c r="F90" s="1081"/>
      <c r="G90" s="1081"/>
      <c r="H90" s="1081"/>
      <c r="I90" s="1081"/>
      <c r="J90" s="118"/>
    </row>
    <row r="91" spans="1:11">
      <c r="A91" s="1081"/>
      <c r="B91" s="1081"/>
      <c r="C91" s="1081"/>
      <c r="D91" s="1081"/>
      <c r="E91" s="1081"/>
      <c r="F91" s="1081"/>
      <c r="G91" s="1081"/>
      <c r="H91" s="1081"/>
      <c r="I91" s="1081"/>
      <c r="J91" s="118"/>
    </row>
    <row r="92" spans="1:11">
      <c r="A92" s="1081"/>
      <c r="B92" s="1081"/>
      <c r="C92" s="1081"/>
      <c r="D92" s="1081"/>
      <c r="E92" s="1081"/>
      <c r="F92" s="1081"/>
      <c r="G92" s="1081"/>
      <c r="H92" s="1081"/>
      <c r="I92" s="1081"/>
      <c r="J92" s="118"/>
    </row>
    <row r="93" spans="1:11">
      <c r="A93" s="22"/>
    </row>
    <row r="94" spans="1:11">
      <c r="A94" s="119" t="s">
        <v>121</v>
      </c>
      <c r="B94" s="12"/>
      <c r="C94" s="12"/>
      <c r="D94" s="12"/>
      <c r="E94" s="12"/>
      <c r="F94" s="12"/>
      <c r="G94" s="12"/>
      <c r="H94" s="12"/>
      <c r="I94" s="12"/>
      <c r="J94" s="12"/>
      <c r="K94" s="12"/>
    </row>
    <row r="95" spans="1:11">
      <c r="A95" s="39"/>
      <c r="B95" s="12"/>
      <c r="C95" s="12"/>
      <c r="D95" s="12"/>
      <c r="E95" s="12"/>
      <c r="F95" s="12"/>
      <c r="G95" s="12"/>
      <c r="H95" s="12"/>
      <c r="I95" s="12"/>
      <c r="J95" s="12"/>
      <c r="K95" s="12"/>
    </row>
    <row r="96" spans="1:11">
      <c r="A96" s="1080" t="s">
        <v>952</v>
      </c>
      <c r="B96" s="1081"/>
      <c r="C96" s="1081"/>
      <c r="D96" s="1081"/>
      <c r="E96" s="1081"/>
      <c r="F96" s="1081"/>
      <c r="G96" s="1081"/>
      <c r="H96" s="1081"/>
      <c r="I96" s="1081"/>
      <c r="J96" s="118"/>
    </row>
    <row r="97" spans="1:10">
      <c r="A97" s="1081"/>
      <c r="B97" s="1081"/>
      <c r="C97" s="1081"/>
      <c r="D97" s="1081"/>
      <c r="E97" s="1081"/>
      <c r="F97" s="1081"/>
      <c r="G97" s="1081"/>
      <c r="H97" s="1081"/>
      <c r="I97" s="1081"/>
      <c r="J97" s="118"/>
    </row>
    <row r="98" spans="1:10">
      <c r="A98" s="1081"/>
      <c r="B98" s="1081"/>
      <c r="C98" s="1081"/>
      <c r="D98" s="1081"/>
      <c r="E98" s="1081"/>
      <c r="F98" s="1081"/>
      <c r="G98" s="1081"/>
      <c r="H98" s="1081"/>
      <c r="I98" s="1081"/>
      <c r="J98" s="118"/>
    </row>
    <row r="99" spans="1:10" ht="16.5" customHeight="1">
      <c r="A99" s="1081"/>
      <c r="B99" s="1081"/>
      <c r="C99" s="1081"/>
      <c r="D99" s="1081"/>
      <c r="E99" s="1081"/>
      <c r="F99" s="1081"/>
      <c r="G99" s="1081"/>
      <c r="H99" s="1081"/>
      <c r="I99" s="1081"/>
      <c r="J99" s="118"/>
    </row>
    <row r="100" spans="1:10">
      <c r="A100" s="1081"/>
      <c r="B100" s="1081"/>
      <c r="C100" s="1081"/>
      <c r="D100" s="1081"/>
      <c r="E100" s="1081"/>
      <c r="F100" s="1081"/>
      <c r="G100" s="1081"/>
      <c r="H100" s="1081"/>
      <c r="I100" s="1081"/>
      <c r="J100" s="118"/>
    </row>
    <row r="101" spans="1:10" ht="17.25" customHeight="1">
      <c r="A101" s="1081"/>
      <c r="B101" s="1081"/>
      <c r="C101" s="1081"/>
      <c r="D101" s="1081"/>
      <c r="E101" s="1081"/>
      <c r="F101" s="1081"/>
      <c r="G101" s="1081"/>
      <c r="H101" s="1081"/>
      <c r="I101" s="1081"/>
      <c r="J101" s="118"/>
    </row>
    <row r="102" spans="1:10">
      <c r="A102" s="1081"/>
      <c r="B102" s="1081"/>
      <c r="C102" s="1081"/>
      <c r="D102" s="1081"/>
      <c r="E102" s="1081"/>
      <c r="F102" s="1081"/>
      <c r="G102" s="1081"/>
      <c r="H102" s="1081"/>
      <c r="I102" s="1081"/>
      <c r="J102" s="118"/>
    </row>
    <row r="103" spans="1:10">
      <c r="A103" s="1081"/>
      <c r="B103" s="1081"/>
      <c r="C103" s="1081"/>
      <c r="D103" s="1081"/>
      <c r="E103" s="1081"/>
      <c r="F103" s="1081"/>
      <c r="G103" s="1081"/>
      <c r="H103" s="1081"/>
      <c r="I103" s="1081"/>
      <c r="J103" s="118"/>
    </row>
    <row r="104" spans="1:10">
      <c r="A104" s="1081"/>
      <c r="B104" s="1081"/>
      <c r="C104" s="1081"/>
      <c r="D104" s="1081"/>
      <c r="E104" s="1081"/>
      <c r="F104" s="1081"/>
      <c r="G104" s="1081"/>
      <c r="H104" s="1081"/>
      <c r="I104" s="1081"/>
      <c r="J104" s="118"/>
    </row>
    <row r="105" spans="1:10">
      <c r="A105" s="1081"/>
      <c r="B105" s="1081"/>
      <c r="C105" s="1081"/>
      <c r="D105" s="1081"/>
      <c r="E105" s="1081"/>
      <c r="F105" s="1081"/>
      <c r="G105" s="1081"/>
      <c r="H105" s="1081"/>
      <c r="I105" s="1081"/>
      <c r="J105" s="118"/>
    </row>
    <row r="106" spans="1:10">
      <c r="A106" s="1081"/>
      <c r="B106" s="1081"/>
      <c r="C106" s="1081"/>
      <c r="D106" s="1081"/>
      <c r="E106" s="1081"/>
      <c r="F106" s="1081"/>
      <c r="G106" s="1081"/>
      <c r="H106" s="1081"/>
      <c r="I106" s="1081"/>
      <c r="J106" s="118"/>
    </row>
    <row r="107" spans="1:10">
      <c r="A107" s="116"/>
      <c r="B107" s="118"/>
      <c r="C107" s="118"/>
      <c r="D107" s="118"/>
      <c r="E107" s="118"/>
      <c r="F107" s="118"/>
      <c r="G107" s="118"/>
      <c r="H107" s="118"/>
      <c r="I107" s="118"/>
      <c r="J107" s="118"/>
    </row>
    <row r="109" spans="1:10" ht="15.75" customHeight="1">
      <c r="A109" s="61"/>
      <c r="B109" s="61"/>
      <c r="C109" s="61"/>
      <c r="D109" s="61"/>
      <c r="E109" s="639" t="str">
        <f>'F4'!J113</f>
        <v>Jakarta, ………………………</v>
      </c>
      <c r="F109" s="639"/>
      <c r="G109" s="61"/>
      <c r="H109" s="639"/>
      <c r="I109" s="666"/>
    </row>
    <row r="110" spans="1:10" ht="15.75">
      <c r="A110" s="98"/>
      <c r="B110" s="61"/>
      <c r="C110" s="61"/>
      <c r="D110" s="61"/>
      <c r="E110" s="61"/>
      <c r="F110" s="61"/>
      <c r="G110" s="61"/>
      <c r="H110" s="61"/>
      <c r="I110" s="61"/>
    </row>
    <row r="111" spans="1:10" ht="15" customHeight="1">
      <c r="A111" s="656" t="str">
        <f>'F4'!A116</f>
        <v xml:space="preserve">Nama Asesor </v>
      </c>
      <c r="B111" s="656"/>
      <c r="C111" s="631"/>
      <c r="D111" s="61"/>
      <c r="E111" s="61"/>
      <c r="F111" s="61"/>
      <c r="G111" s="1054" t="str">
        <f>'F4'!J116</f>
        <v xml:space="preserve">Tanda Tangan </v>
      </c>
      <c r="H111" s="1054"/>
      <c r="I111" s="61"/>
    </row>
    <row r="112" spans="1:10">
      <c r="A112" s="631"/>
      <c r="B112" s="632"/>
      <c r="C112" s="631"/>
      <c r="D112" s="631"/>
      <c r="E112" s="61"/>
      <c r="F112" s="61"/>
      <c r="G112" s="61"/>
      <c r="H112" s="61"/>
      <c r="I112" s="61"/>
    </row>
    <row r="113" spans="1:9">
      <c r="A113" s="631"/>
      <c r="B113" s="632"/>
      <c r="C113" s="631"/>
      <c r="D113" s="631"/>
      <c r="E113" s="61"/>
      <c r="F113" s="61"/>
      <c r="G113" s="61"/>
      <c r="H113" s="61"/>
      <c r="I113" s="61"/>
    </row>
    <row r="114" spans="1:9">
      <c r="A114" s="1086" t="s">
        <v>928</v>
      </c>
      <c r="B114" s="1086"/>
      <c r="C114" s="1086"/>
      <c r="D114" s="1086"/>
      <c r="E114" s="1086"/>
      <c r="F114" s="1086"/>
      <c r="G114" s="1057" t="s">
        <v>923</v>
      </c>
      <c r="H114" s="1057"/>
      <c r="I114" s="1057"/>
    </row>
    <row r="115" spans="1:9" ht="15" customHeight="1">
      <c r="A115" s="1085"/>
      <c r="B115" s="1085"/>
      <c r="C115" s="633"/>
      <c r="D115" s="634"/>
      <c r="E115" s="635"/>
      <c r="F115" s="640"/>
      <c r="G115" s="634"/>
      <c r="H115" s="634"/>
      <c r="I115" s="634"/>
    </row>
    <row r="116" spans="1:9">
      <c r="A116" s="633"/>
      <c r="B116" s="633"/>
      <c r="C116" s="633"/>
      <c r="D116" s="633"/>
      <c r="E116" s="633"/>
      <c r="F116" s="634"/>
      <c r="G116" s="634"/>
      <c r="H116" s="634"/>
      <c r="I116" s="634"/>
    </row>
    <row r="117" spans="1:9">
      <c r="A117" s="1057" t="s">
        <v>924</v>
      </c>
      <c r="B117" s="1057"/>
      <c r="C117" s="1057"/>
      <c r="D117" s="1057"/>
      <c r="E117" s="1057"/>
      <c r="F117" s="1057"/>
      <c r="G117" s="1057" t="s">
        <v>923</v>
      </c>
      <c r="H117" s="1057"/>
      <c r="I117" s="1057"/>
    </row>
    <row r="118" spans="1:9">
      <c r="A118" s="634"/>
      <c r="B118" s="634"/>
      <c r="C118" s="634"/>
      <c r="D118" s="634"/>
      <c r="E118" s="634"/>
      <c r="F118" s="634"/>
      <c r="G118" s="634"/>
      <c r="H118" s="634"/>
      <c r="I118" s="634"/>
    </row>
    <row r="119" spans="1:9">
      <c r="A119" s="634"/>
      <c r="B119" s="634"/>
      <c r="C119" s="634"/>
      <c r="D119" s="634"/>
      <c r="E119" s="634"/>
      <c r="F119" s="634"/>
      <c r="G119" s="634"/>
      <c r="H119" s="634"/>
      <c r="I119" s="634"/>
    </row>
    <row r="120" spans="1:9">
      <c r="A120" s="1057" t="s">
        <v>925</v>
      </c>
      <c r="B120" s="1057"/>
      <c r="C120" s="1057"/>
      <c r="D120" s="1057"/>
      <c r="E120" s="1057"/>
      <c r="F120" s="1057"/>
      <c r="G120" s="1057" t="s">
        <v>923</v>
      </c>
      <c r="H120" s="1057"/>
      <c r="I120" s="1057"/>
    </row>
    <row r="121" spans="1:9">
      <c r="A121" s="634"/>
      <c r="B121" s="634"/>
      <c r="C121" s="634"/>
      <c r="D121" s="634"/>
      <c r="E121" s="634"/>
      <c r="F121" s="634"/>
      <c r="G121" s="634"/>
      <c r="H121" s="634"/>
      <c r="I121" s="634"/>
    </row>
    <row r="122" spans="1:9">
      <c r="A122" s="634"/>
      <c r="B122" s="634"/>
      <c r="C122" s="634"/>
      <c r="D122" s="634"/>
      <c r="E122" s="634"/>
      <c r="F122" s="634"/>
      <c r="G122" s="634"/>
      <c r="H122" s="634"/>
      <c r="I122" s="634"/>
    </row>
    <row r="123" spans="1:9">
      <c r="A123" s="1057" t="s">
        <v>926</v>
      </c>
      <c r="B123" s="1057"/>
      <c r="C123" s="1057"/>
      <c r="D123" s="1057"/>
      <c r="E123" s="1057"/>
      <c r="F123" s="1057"/>
      <c r="G123" s="1057" t="s">
        <v>923</v>
      </c>
      <c r="H123" s="1057"/>
      <c r="I123" s="1057"/>
    </row>
    <row r="124" spans="1:9">
      <c r="A124" s="634"/>
      <c r="B124" s="634"/>
      <c r="C124" s="634"/>
      <c r="D124" s="634"/>
      <c r="E124" s="634"/>
      <c r="F124" s="634"/>
      <c r="G124" s="634"/>
      <c r="H124" s="634"/>
      <c r="I124" s="634"/>
    </row>
    <row r="125" spans="1:9">
      <c r="A125" s="634"/>
      <c r="B125" s="634"/>
      <c r="C125" s="634"/>
      <c r="D125" s="634"/>
      <c r="E125" s="634"/>
      <c r="F125" s="634"/>
      <c r="G125" s="634"/>
      <c r="H125" s="634"/>
      <c r="I125" s="634"/>
    </row>
    <row r="126" spans="1:9">
      <c r="A126" s="1057" t="s">
        <v>927</v>
      </c>
      <c r="B126" s="1057"/>
      <c r="C126" s="1057"/>
      <c r="D126" s="1057"/>
      <c r="E126" s="1057"/>
      <c r="F126" s="1057"/>
      <c r="G126" s="1057" t="s">
        <v>923</v>
      </c>
      <c r="H126" s="1057"/>
      <c r="I126" s="1057"/>
    </row>
    <row r="127" spans="1:9">
      <c r="A127" s="634"/>
      <c r="B127" s="634"/>
      <c r="C127" s="634"/>
      <c r="D127" s="634"/>
      <c r="E127" s="634"/>
      <c r="F127" s="634"/>
      <c r="G127" s="634"/>
      <c r="H127" s="634"/>
      <c r="I127" s="634"/>
    </row>
    <row r="128" spans="1:9">
      <c r="A128" s="634"/>
      <c r="B128" s="634"/>
      <c r="C128" s="634"/>
      <c r="D128" s="634"/>
      <c r="E128" s="634"/>
      <c r="F128" s="634"/>
      <c r="G128" s="634"/>
      <c r="H128" s="634"/>
      <c r="I128" s="634"/>
    </row>
    <row r="129" spans="1:9">
      <c r="A129" s="634"/>
      <c r="B129" s="634"/>
      <c r="C129" s="634"/>
      <c r="D129" s="634"/>
      <c r="E129" s="634"/>
      <c r="F129" s="634"/>
      <c r="G129" s="634"/>
      <c r="H129" s="634"/>
      <c r="I129" s="634"/>
    </row>
    <row r="130" spans="1:9">
      <c r="A130" s="634"/>
      <c r="B130" s="634"/>
      <c r="C130" s="634"/>
      <c r="D130" s="634"/>
      <c r="E130" s="634"/>
      <c r="F130" s="634"/>
      <c r="G130" s="634"/>
      <c r="H130" s="634"/>
      <c r="I130" s="634"/>
    </row>
    <row r="131" spans="1:9">
      <c r="A131" s="61"/>
      <c r="B131" s="61"/>
      <c r="C131" s="61"/>
      <c r="D131" s="61"/>
      <c r="E131" s="61"/>
      <c r="F131" s="61"/>
      <c r="G131" s="61"/>
      <c r="H131" s="61"/>
      <c r="I131" s="61"/>
    </row>
    <row r="132" spans="1:9">
      <c r="A132" s="61"/>
      <c r="B132" s="61"/>
      <c r="C132" s="61"/>
      <c r="D132" s="61"/>
      <c r="E132" s="61"/>
      <c r="F132" s="61"/>
      <c r="G132" s="61"/>
      <c r="H132" s="61"/>
      <c r="I132" s="61"/>
    </row>
    <row r="133" spans="1:9">
      <c r="A133" s="61"/>
      <c r="B133" s="61"/>
      <c r="C133" s="61"/>
      <c r="D133" s="61"/>
      <c r="E133" s="61"/>
      <c r="F133" s="61"/>
      <c r="G133" s="61"/>
      <c r="H133" s="61"/>
      <c r="I133" s="61"/>
    </row>
    <row r="134" spans="1:9">
      <c r="A134" s="61"/>
      <c r="B134" s="61"/>
      <c r="C134" s="61"/>
      <c r="D134" s="61"/>
      <c r="E134" s="61"/>
      <c r="F134" s="61"/>
      <c r="G134" s="61"/>
      <c r="H134" s="61"/>
      <c r="I134" s="61"/>
    </row>
    <row r="135" spans="1:9">
      <c r="A135" s="61"/>
      <c r="B135" s="61"/>
      <c r="C135" s="61"/>
      <c r="D135" s="61"/>
      <c r="E135" s="61"/>
      <c r="F135" s="61"/>
      <c r="G135" s="61"/>
      <c r="H135" s="61"/>
      <c r="I135" s="61"/>
    </row>
    <row r="136" spans="1:9">
      <c r="A136" s="61"/>
      <c r="B136" s="61"/>
      <c r="C136" s="61"/>
      <c r="D136" s="61"/>
      <c r="E136" s="61"/>
      <c r="F136" s="61"/>
      <c r="G136" s="61"/>
      <c r="H136" s="61"/>
      <c r="I136" s="61"/>
    </row>
    <row r="137" spans="1:9">
      <c r="A137" s="61"/>
      <c r="B137" s="61"/>
      <c r="C137" s="61"/>
      <c r="D137" s="61"/>
      <c r="E137" s="61"/>
      <c r="F137" s="61"/>
      <c r="G137" s="61"/>
      <c r="H137" s="61"/>
      <c r="I137" s="61"/>
    </row>
    <row r="138" spans="1:9">
      <c r="A138" s="61"/>
      <c r="B138" s="61"/>
      <c r="C138" s="61"/>
      <c r="D138" s="61"/>
      <c r="E138" s="61"/>
      <c r="F138" s="61"/>
      <c r="G138" s="61"/>
      <c r="H138" s="61"/>
      <c r="I138" s="61"/>
    </row>
    <row r="139" spans="1:9">
      <c r="A139" s="61"/>
      <c r="B139" s="61"/>
      <c r="C139" s="61"/>
      <c r="D139" s="61"/>
      <c r="E139" s="61"/>
      <c r="F139" s="61"/>
      <c r="G139" s="61"/>
      <c r="H139" s="61"/>
      <c r="I139" s="61"/>
    </row>
    <row r="140" spans="1:9">
      <c r="A140" s="61"/>
      <c r="B140" s="61"/>
      <c r="C140" s="61"/>
      <c r="D140" s="61"/>
      <c r="E140" s="61"/>
      <c r="F140" s="61"/>
      <c r="G140" s="61"/>
      <c r="H140" s="61"/>
      <c r="I140" s="61"/>
    </row>
    <row r="141" spans="1:9">
      <c r="A141" s="61"/>
      <c r="B141" s="61"/>
      <c r="C141" s="61"/>
      <c r="D141" s="61"/>
      <c r="E141" s="61"/>
      <c r="F141" s="61"/>
      <c r="G141" s="61"/>
      <c r="H141" s="61"/>
      <c r="I141" s="61"/>
    </row>
    <row r="142" spans="1:9">
      <c r="A142" s="61"/>
      <c r="B142" s="61"/>
      <c r="C142" s="61"/>
      <c r="D142" s="61"/>
      <c r="E142" s="61"/>
      <c r="F142" s="61"/>
      <c r="G142" s="61"/>
      <c r="H142" s="61"/>
      <c r="I142" s="61"/>
    </row>
    <row r="143" spans="1:9">
      <c r="A143" s="61"/>
      <c r="B143" s="61"/>
      <c r="C143" s="61"/>
      <c r="D143" s="61"/>
      <c r="E143" s="61"/>
      <c r="F143" s="61"/>
      <c r="G143" s="61"/>
      <c r="H143" s="61"/>
      <c r="I143" s="61"/>
    </row>
    <row r="144" spans="1:9">
      <c r="A144" s="61"/>
      <c r="B144" s="61"/>
      <c r="C144" s="61"/>
      <c r="D144" s="61"/>
      <c r="E144" s="61"/>
      <c r="F144" s="61"/>
      <c r="G144" s="61"/>
      <c r="H144" s="61"/>
      <c r="I144" s="61"/>
    </row>
    <row r="145" spans="1:9">
      <c r="A145" s="61"/>
      <c r="B145" s="61"/>
      <c r="C145" s="61"/>
      <c r="D145" s="61"/>
      <c r="E145" s="61"/>
      <c r="F145" s="61"/>
      <c r="G145" s="61"/>
      <c r="H145" s="61"/>
      <c r="I145" s="61"/>
    </row>
  </sheetData>
  <sheetProtection password="CC78" sheet="1" objects="1" scenarios="1" formatColumns="0" formatRows="0" selectLockedCells="1"/>
  <mergeCells count="26">
    <mergeCell ref="A117:F117"/>
    <mergeCell ref="A120:F120"/>
    <mergeCell ref="A123:F123"/>
    <mergeCell ref="A126:F126"/>
    <mergeCell ref="G111:H111"/>
    <mergeCell ref="G114:I114"/>
    <mergeCell ref="A115:B115"/>
    <mergeCell ref="A114:F114"/>
    <mergeCell ref="G117:I117"/>
    <mergeCell ref="G120:I120"/>
    <mergeCell ref="G123:I123"/>
    <mergeCell ref="G126:I126"/>
    <mergeCell ref="A67:I77"/>
    <mergeCell ref="A82:I92"/>
    <mergeCell ref="A96:I106"/>
    <mergeCell ref="A6:I6"/>
    <mergeCell ref="A38:I48"/>
    <mergeCell ref="A53:I63"/>
    <mergeCell ref="A10:I21"/>
    <mergeCell ref="A24:I34"/>
    <mergeCell ref="A51:I51"/>
    <mergeCell ref="A5:C5"/>
    <mergeCell ref="A4:C4"/>
    <mergeCell ref="A1:I1"/>
    <mergeCell ref="A3:C3"/>
    <mergeCell ref="D3:I3"/>
  </mergeCells>
  <phoneticPr fontId="35" type="noConversion"/>
  <pageMargins left="0.98" right="0.7" top="0.75" bottom="0.75" header="0.3" footer="0.3"/>
  <pageSetup orientation="portrait" r:id="rId1"/>
  <headerFooter>
    <oddFooter>&amp;LFormat 9 - &amp;D@&amp;T&amp;CAIPT&amp;R&amp;P/&amp;N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Menu</vt:lpstr>
      <vt:lpstr>F1</vt:lpstr>
      <vt:lpstr>hitung_F1</vt:lpstr>
      <vt:lpstr>F2</vt:lpstr>
      <vt:lpstr>hitung_F2</vt:lpstr>
      <vt:lpstr>F3</vt:lpstr>
      <vt:lpstr>F4</vt:lpstr>
      <vt:lpstr>F5</vt:lpstr>
      <vt:lpstr>F6</vt:lpstr>
      <vt:lpstr>nilai_akhir</vt:lpstr>
      <vt:lpstr>REKAP AK Terbobot</vt:lpstr>
      <vt:lpstr>'F1'!Print_Area</vt:lpstr>
      <vt:lpstr>'F2'!Print_Area</vt:lpstr>
      <vt:lpstr>'F3'!Print_Area</vt:lpstr>
      <vt:lpstr>'F4'!Print_Area</vt:lpstr>
      <vt:lpstr>'F5'!Print_Area</vt:lpstr>
      <vt:lpstr>'F6'!Print_Area</vt:lpstr>
      <vt:lpstr>'REKAP AK Terbobot'!Print_Area</vt:lpstr>
      <vt:lpstr>'F1'!Print_Titles</vt:lpstr>
      <vt:lpstr>'F2'!Print_Titles</vt:lpstr>
      <vt:lpstr>'F3'!Print_Titles</vt:lpstr>
      <vt:lpstr>'F4'!Print_Titles</vt:lpstr>
      <vt:lpstr>'F5'!Print_Titles</vt:lpstr>
    </vt:vector>
  </TitlesOfParts>
  <Company>NTU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Djoko Suhardjanto</cp:lastModifiedBy>
  <cp:lastPrinted>2015-04-15T07:28:28Z</cp:lastPrinted>
  <dcterms:created xsi:type="dcterms:W3CDTF">2009-07-06T01:37:37Z</dcterms:created>
  <dcterms:modified xsi:type="dcterms:W3CDTF">2015-10-07T05:11:43Z</dcterms:modified>
</cp:coreProperties>
</file>